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C:\Projects\Natural Climate Solutions\Natural Climate Solutions 2021\"/>
    </mc:Choice>
  </mc:AlternateContent>
  <xr:revisionPtr revIDLastSave="0" documentId="13_ncr:1_{C0F14BED-CE5E-4EF7-A388-2507138D93F1}" xr6:coauthVersionLast="47" xr6:coauthVersionMax="47" xr10:uidLastSave="{00000000-0000-0000-0000-000000000000}"/>
  <bookViews>
    <workbookView xWindow="1340" yWindow="140" windowWidth="21030" windowHeight="13320" activeTab="1" xr2:uid="{CB5AD27D-413B-46AD-8C25-9F4B6E0744D3}"/>
  </bookViews>
  <sheets>
    <sheet name="Getting Started" sheetId="19" r:id="rId1"/>
    <sheet name="Inputs" sheetId="1" r:id="rId2"/>
    <sheet name="Results" sheetId="12" r:id="rId3"/>
    <sheet name="EPA GHG Calculator Equivalents" sheetId="6" r:id="rId4"/>
    <sheet name="Scenario Potential Calculations" sheetId="2" r:id="rId5"/>
    <sheet name="GrassfedTransition" sheetId="18" r:id="rId6"/>
    <sheet name="N Management Calcs" sheetId="13" r:id="rId7"/>
    <sheet name="Residues" sheetId="15" r:id="rId8"/>
    <sheet name="Manure Management Calcs" sheetId="10" r:id="rId9"/>
    <sheet name="Enteric Emissions" sheetId="11"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131" i="1" l="1"/>
  <c r="B132" i="1"/>
  <c r="B133" i="1"/>
  <c r="B134" i="1"/>
  <c r="B135" i="1"/>
  <c r="C24" i="1" l="1"/>
  <c r="B3" i="12"/>
  <c r="B2" i="12"/>
  <c r="M42" i="13"/>
  <c r="M43" i="13" s="1"/>
  <c r="O36" i="13" s="1"/>
  <c r="N9" i="13" a="1"/>
  <c r="N9" i="13" s="1"/>
  <c r="M3" i="13"/>
  <c r="N3" i="13"/>
  <c r="M4" i="13"/>
  <c r="N4" i="13"/>
  <c r="M5" i="13"/>
  <c r="N5" i="13"/>
  <c r="M6" i="13"/>
  <c r="N6" i="13"/>
  <c r="N2" i="13"/>
  <c r="M10" i="13"/>
  <c r="M11" i="13"/>
  <c r="M12" i="13"/>
  <c r="M13" i="13"/>
  <c r="M14" i="13"/>
  <c r="M15" i="13"/>
  <c r="M16" i="13"/>
  <c r="M17" i="13"/>
  <c r="M18" i="13"/>
  <c r="M19" i="13"/>
  <c r="M20" i="13"/>
  <c r="M21" i="13"/>
  <c r="M22" i="13"/>
  <c r="M23" i="13"/>
  <c r="M9" i="13"/>
  <c r="M2" i="13"/>
  <c r="B3" i="2"/>
  <c r="H2" i="13"/>
  <c r="H9" i="13" s="1"/>
  <c r="B2" i="13"/>
  <c r="B21" i="13" s="1"/>
  <c r="B14" i="18"/>
  <c r="B15" i="18" s="1"/>
  <c r="B16" i="18" s="1"/>
  <c r="B21" i="18" s="1"/>
  <c r="B48" i="18" s="1"/>
  <c r="B3" i="18"/>
  <c r="B31" i="18" s="1"/>
  <c r="AA25" i="10"/>
  <c r="D17" i="1"/>
  <c r="D16" i="1"/>
  <c r="D14" i="1"/>
  <c r="D13" i="1"/>
  <c r="D12" i="1"/>
  <c r="D11" i="1"/>
  <c r="D10" i="1"/>
  <c r="D9" i="1"/>
  <c r="D8" i="1"/>
  <c r="D6" i="1"/>
  <c r="C108" i="2"/>
  <c r="N23" i="6" s="1"/>
  <c r="B108" i="2"/>
  <c r="N8" i="6" s="1"/>
  <c r="E48" i="2"/>
  <c r="E35" i="2"/>
  <c r="E28" i="2"/>
  <c r="E22" i="2"/>
  <c r="E12" i="2"/>
  <c r="E42" i="2"/>
  <c r="E64" i="2"/>
  <c r="E60" i="2"/>
  <c r="E54" i="2"/>
  <c r="E52"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20" i="2"/>
  <c r="C10" i="2"/>
  <c r="C11" i="2"/>
  <c r="C12" i="2"/>
  <c r="C13" i="2"/>
  <c r="C14" i="2"/>
  <c r="C15" i="2"/>
  <c r="C16" i="2"/>
  <c r="C17" i="2"/>
  <c r="C18" i="2"/>
  <c r="C19" i="2"/>
  <c r="C9" i="2"/>
  <c r="C4" i="2"/>
  <c r="C5" i="2"/>
  <c r="C6" i="2"/>
  <c r="C7" i="2"/>
  <c r="C8" i="2"/>
  <c r="C3" i="2"/>
  <c r="B49" i="2"/>
  <c r="B50" i="2"/>
  <c r="B51" i="2"/>
  <c r="B52" i="2"/>
  <c r="B53" i="2"/>
  <c r="B54" i="2"/>
  <c r="B55" i="2"/>
  <c r="B56" i="2"/>
  <c r="B57" i="2"/>
  <c r="B58" i="2"/>
  <c r="B59" i="2"/>
  <c r="B60" i="2"/>
  <c r="B61" i="2"/>
  <c r="B62" i="2"/>
  <c r="B63" i="2"/>
  <c r="B64" i="2"/>
  <c r="B35" i="2"/>
  <c r="B36" i="2"/>
  <c r="B37" i="2"/>
  <c r="B38" i="2"/>
  <c r="B39" i="2"/>
  <c r="B40" i="2"/>
  <c r="B41" i="2"/>
  <c r="B42" i="2"/>
  <c r="B43" i="2"/>
  <c r="B44" i="2"/>
  <c r="B45" i="2"/>
  <c r="B46" i="2"/>
  <c r="B47" i="2"/>
  <c r="B48" i="2"/>
  <c r="B25" i="2"/>
  <c r="B26" i="2"/>
  <c r="B27" i="2"/>
  <c r="B28" i="2"/>
  <c r="B29" i="2"/>
  <c r="B30" i="2"/>
  <c r="B31" i="2"/>
  <c r="B32" i="2"/>
  <c r="B33" i="2"/>
  <c r="B34" i="2"/>
  <c r="B21" i="2"/>
  <c r="B22" i="2"/>
  <c r="B23" i="2"/>
  <c r="B24" i="2"/>
  <c r="B20" i="2"/>
  <c r="B13" i="2"/>
  <c r="B14" i="2"/>
  <c r="B15" i="2"/>
  <c r="B16" i="2"/>
  <c r="B17" i="2"/>
  <c r="B18" i="2"/>
  <c r="B19" i="2"/>
  <c r="B10" i="2"/>
  <c r="B11" i="2"/>
  <c r="B12" i="2"/>
  <c r="B9" i="2"/>
  <c r="B4" i="2"/>
  <c r="B5" i="2"/>
  <c r="B6" i="2"/>
  <c r="B7" i="2"/>
  <c r="B8" i="2"/>
  <c r="E63" i="2"/>
  <c r="E62" i="2"/>
  <c r="E61" i="2"/>
  <c r="E59" i="2"/>
  <c r="E58" i="2"/>
  <c r="E57" i="2"/>
  <c r="E56" i="2"/>
  <c r="E55" i="2"/>
  <c r="E53" i="2"/>
  <c r="E51" i="2"/>
  <c r="E50" i="2"/>
  <c r="E49" i="2"/>
  <c r="E46" i="2"/>
  <c r="E45" i="2"/>
  <c r="E44" i="2"/>
  <c r="E43" i="2"/>
  <c r="E41" i="2"/>
  <c r="E40" i="2"/>
  <c r="E39" i="2"/>
  <c r="E38" i="2"/>
  <c r="E37" i="2"/>
  <c r="E36" i="2"/>
  <c r="E33" i="2"/>
  <c r="E32" i="2"/>
  <c r="E31" i="2"/>
  <c r="E30" i="2"/>
  <c r="E29" i="2"/>
  <c r="E27" i="2"/>
  <c r="E26" i="2"/>
  <c r="E25" i="2"/>
  <c r="E24" i="2"/>
  <c r="E23" i="2"/>
  <c r="E21" i="2"/>
  <c r="E20" i="2"/>
  <c r="E19" i="2"/>
  <c r="E18" i="2"/>
  <c r="E17" i="2"/>
  <c r="E16" i="2"/>
  <c r="E15" i="2"/>
  <c r="E14" i="2"/>
  <c r="E13" i="2"/>
  <c r="E11" i="2"/>
  <c r="E10" i="2"/>
  <c r="E9" i="2"/>
  <c r="E8" i="2"/>
  <c r="E7" i="2"/>
  <c r="E6" i="2"/>
  <c r="E5" i="2"/>
  <c r="E4" i="2"/>
  <c r="E3" i="2"/>
  <c r="B22" i="12" l="1"/>
  <c r="C22" i="12"/>
  <c r="B96" i="2"/>
  <c r="B10" i="12" s="1"/>
  <c r="N15" i="6"/>
  <c r="N18" i="6"/>
  <c r="N19" i="6"/>
  <c r="B11" i="6"/>
  <c r="B10" i="6"/>
  <c r="B4" i="6"/>
  <c r="B8" i="6"/>
  <c r="B9" i="6"/>
  <c r="B7" i="6"/>
  <c r="B6" i="6"/>
  <c r="N22" i="6"/>
  <c r="B126" i="2"/>
  <c r="B40" i="12" s="1"/>
  <c r="N11" i="6"/>
  <c r="N10" i="6"/>
  <c r="N9" i="6"/>
  <c r="N6" i="6"/>
  <c r="N2" i="6"/>
  <c r="N5" i="6"/>
  <c r="N4" i="6"/>
  <c r="N3" i="6"/>
  <c r="C126" i="2"/>
  <c r="C40" i="12" s="1"/>
  <c r="N20" i="6"/>
  <c r="N16" i="6"/>
  <c r="N24" i="6"/>
  <c r="N21" i="6"/>
  <c r="N17" i="6"/>
  <c r="N7" i="6"/>
  <c r="O33" i="13"/>
  <c r="O28" i="13"/>
  <c r="O29" i="13"/>
  <c r="O30" i="13"/>
  <c r="O27" i="13"/>
  <c r="O32" i="13"/>
  <c r="O35" i="13"/>
  <c r="B27" i="18"/>
  <c r="B53" i="18" s="1"/>
  <c r="O31" i="13"/>
  <c r="O34" i="13"/>
  <c r="B42" i="13"/>
  <c r="B3" i="13"/>
  <c r="B43" i="13"/>
  <c r="H3" i="13"/>
  <c r="H15" i="13"/>
  <c r="H16" i="13"/>
  <c r="H8" i="13"/>
  <c r="H11" i="13"/>
  <c r="H10" i="13"/>
  <c r="H14" i="13"/>
  <c r="H17" i="13"/>
  <c r="H18" i="13"/>
  <c r="H20" i="13"/>
  <c r="H21" i="13"/>
  <c r="H19" i="13"/>
  <c r="H7" i="13"/>
  <c r="C85" i="2"/>
  <c r="D85" i="2" s="1"/>
  <c r="C91" i="2"/>
  <c r="D91" i="2" s="1"/>
  <c r="C87" i="2"/>
  <c r="D87" i="2" s="1"/>
  <c r="C83" i="2"/>
  <c r="D83" i="2" s="1"/>
  <c r="C89" i="2"/>
  <c r="D89" i="2" s="1"/>
  <c r="C90" i="2"/>
  <c r="D90" i="2" s="1"/>
  <c r="C84" i="2"/>
  <c r="D84" i="2" s="1"/>
  <c r="C103" i="2"/>
  <c r="C17" i="12" s="1"/>
  <c r="B103" i="2"/>
  <c r="B17" i="12" s="1"/>
  <c r="B101" i="2"/>
  <c r="B15" i="12" s="1"/>
  <c r="B97" i="2"/>
  <c r="B11" i="12" s="1"/>
  <c r="C99" i="2"/>
  <c r="C13" i="12" s="1"/>
  <c r="B105" i="2"/>
  <c r="B19" i="12" s="1"/>
  <c r="B114" i="2"/>
  <c r="B100" i="2"/>
  <c r="B14" i="12" s="1"/>
  <c r="C97" i="2"/>
  <c r="C11" i="12" s="1"/>
  <c r="C96" i="2"/>
  <c r="C10" i="12" s="1"/>
  <c r="B99" i="2"/>
  <c r="B13" i="12" s="1"/>
  <c r="C100" i="2"/>
  <c r="C14" i="12" s="1"/>
  <c r="C102" i="2"/>
  <c r="C16" i="12" s="1"/>
  <c r="B98" i="2"/>
  <c r="B12" i="12" s="1"/>
  <c r="B102" i="2"/>
  <c r="B16" i="12" s="1"/>
  <c r="C98" i="2"/>
  <c r="C12" i="12" s="1"/>
  <c r="C105" i="2"/>
  <c r="C19" i="12" s="1"/>
  <c r="B5" i="6" l="1"/>
  <c r="B3" i="6"/>
  <c r="B2" i="6"/>
  <c r="B28" i="12"/>
  <c r="C115" i="2"/>
  <c r="C29" i="12" s="1"/>
  <c r="C22" i="6"/>
  <c r="C18" i="6"/>
  <c r="C23" i="6"/>
  <c r="C19" i="6"/>
  <c r="C15" i="6"/>
  <c r="C24" i="6"/>
  <c r="C21" i="6"/>
  <c r="C20" i="6"/>
  <c r="C16" i="6"/>
  <c r="C17" i="6"/>
  <c r="B116" i="2"/>
  <c r="B30" i="12" s="1"/>
  <c r="D11" i="6"/>
  <c r="D10" i="6"/>
  <c r="D9" i="6"/>
  <c r="D6" i="6"/>
  <c r="D2" i="6"/>
  <c r="D5" i="6"/>
  <c r="D3" i="6"/>
  <c r="D4" i="6"/>
  <c r="D8" i="6"/>
  <c r="D7" i="6"/>
  <c r="C120" i="2"/>
  <c r="C34" i="12" s="1"/>
  <c r="H23" i="6"/>
  <c r="H19" i="6"/>
  <c r="H15" i="6"/>
  <c r="H24" i="6"/>
  <c r="H20" i="6"/>
  <c r="H16" i="6"/>
  <c r="H18" i="6"/>
  <c r="H17" i="6"/>
  <c r="H21" i="6"/>
  <c r="H22" i="6"/>
  <c r="B118" i="2"/>
  <c r="B32" i="12" s="1"/>
  <c r="F3" i="6"/>
  <c r="F2" i="6"/>
  <c r="F8" i="6"/>
  <c r="F7" i="6"/>
  <c r="F4" i="6"/>
  <c r="F11" i="6"/>
  <c r="F9" i="6"/>
  <c r="F10" i="6"/>
  <c r="F6" i="6"/>
  <c r="F5" i="6"/>
  <c r="C123" i="2"/>
  <c r="C37" i="12" s="1"/>
  <c r="K23" i="6"/>
  <c r="K19" i="6"/>
  <c r="K15" i="6"/>
  <c r="K24" i="6"/>
  <c r="K20" i="6"/>
  <c r="K16" i="6"/>
  <c r="K21" i="6"/>
  <c r="K17" i="6"/>
  <c r="K18" i="6"/>
  <c r="K22" i="6"/>
  <c r="B120" i="2"/>
  <c r="B34" i="12" s="1"/>
  <c r="H3" i="6"/>
  <c r="H2" i="6"/>
  <c r="H5" i="6"/>
  <c r="H4" i="6"/>
  <c r="H11" i="6"/>
  <c r="H10" i="6"/>
  <c r="H9" i="6"/>
  <c r="H8" i="6"/>
  <c r="H7" i="6"/>
  <c r="H6" i="6"/>
  <c r="B123" i="2"/>
  <c r="B37" i="12" s="1"/>
  <c r="K11" i="6"/>
  <c r="K10" i="6"/>
  <c r="K9" i="6"/>
  <c r="K6" i="6"/>
  <c r="K5" i="6"/>
  <c r="K4" i="6"/>
  <c r="K3" i="6"/>
  <c r="K2" i="6"/>
  <c r="K8" i="6"/>
  <c r="K7" i="6"/>
  <c r="C116" i="2"/>
  <c r="C30" i="12" s="1"/>
  <c r="D22" i="6"/>
  <c r="D18" i="6"/>
  <c r="D23" i="6"/>
  <c r="D19" i="6"/>
  <c r="D15" i="6"/>
  <c r="D24" i="6"/>
  <c r="D21" i="6"/>
  <c r="D20" i="6"/>
  <c r="D16" i="6"/>
  <c r="D17" i="6"/>
  <c r="B117" i="2"/>
  <c r="B31" i="12" s="1"/>
  <c r="E3" i="6"/>
  <c r="E2" i="6"/>
  <c r="E11" i="6"/>
  <c r="E10" i="6"/>
  <c r="E9" i="6"/>
  <c r="E4" i="6"/>
  <c r="E7" i="6"/>
  <c r="E8" i="6"/>
  <c r="E6" i="6"/>
  <c r="E5" i="6"/>
  <c r="C118" i="2"/>
  <c r="C32" i="12" s="1"/>
  <c r="F22" i="6"/>
  <c r="F18" i="6"/>
  <c r="F19" i="6"/>
  <c r="F23" i="6"/>
  <c r="F20" i="6"/>
  <c r="F24" i="6"/>
  <c r="F16" i="6"/>
  <c r="F15" i="6"/>
  <c r="F21" i="6"/>
  <c r="F17" i="6"/>
  <c r="C114" i="2"/>
  <c r="C28" i="12" s="1"/>
  <c r="B22" i="6"/>
  <c r="B18" i="6"/>
  <c r="B19" i="6"/>
  <c r="B23" i="6"/>
  <c r="B15" i="6"/>
  <c r="B21" i="6"/>
  <c r="B17" i="6"/>
  <c r="B16" i="6"/>
  <c r="B24" i="6"/>
  <c r="B20" i="6"/>
  <c r="C117" i="2"/>
  <c r="C31" i="12" s="1"/>
  <c r="E22" i="6"/>
  <c r="E18" i="6"/>
  <c r="E24" i="6"/>
  <c r="E20" i="6"/>
  <c r="E16" i="6"/>
  <c r="E21" i="6"/>
  <c r="E23" i="6"/>
  <c r="E15" i="6"/>
  <c r="E19" i="6"/>
  <c r="E17" i="6"/>
  <c r="B115" i="2"/>
  <c r="B29" i="12" s="1"/>
  <c r="C11" i="6"/>
  <c r="C10" i="6"/>
  <c r="C9" i="6"/>
  <c r="C6" i="6"/>
  <c r="C5" i="6"/>
  <c r="C4" i="6"/>
  <c r="C3" i="6"/>
  <c r="C2" i="6"/>
  <c r="C7" i="6"/>
  <c r="C8" i="6"/>
  <c r="B119" i="2"/>
  <c r="B33" i="12" s="1"/>
  <c r="G11" i="6"/>
  <c r="G10" i="6"/>
  <c r="G9" i="6"/>
  <c r="G6" i="6"/>
  <c r="G3" i="6"/>
  <c r="G2" i="6"/>
  <c r="G5" i="6"/>
  <c r="G4" i="6"/>
  <c r="G8" i="6"/>
  <c r="G7" i="6"/>
  <c r="B121" i="2"/>
  <c r="B35" i="12" s="1"/>
  <c r="I11" i="6"/>
  <c r="I10" i="6"/>
  <c r="I9" i="6"/>
  <c r="I6" i="6"/>
  <c r="I2" i="6"/>
  <c r="I5" i="6"/>
  <c r="I4" i="6"/>
  <c r="I3" i="6"/>
  <c r="I7" i="6"/>
  <c r="I8" i="6"/>
  <c r="C121" i="2"/>
  <c r="C35" i="12" s="1"/>
  <c r="I23" i="6"/>
  <c r="I19" i="6"/>
  <c r="I15" i="6"/>
  <c r="I24" i="6"/>
  <c r="I20" i="6"/>
  <c r="I16" i="6"/>
  <c r="I17" i="6"/>
  <c r="I22" i="6"/>
  <c r="I21" i="6"/>
  <c r="I18" i="6"/>
  <c r="H5" i="13"/>
  <c r="H38" i="13" s="1"/>
  <c r="B5" i="13"/>
  <c r="B38" i="13" s="1"/>
  <c r="B13" i="13"/>
  <c r="B12" i="13"/>
  <c r="H12" i="13"/>
  <c r="H13" i="13"/>
  <c r="B17" i="18"/>
  <c r="B20" i="18"/>
  <c r="B19" i="18"/>
  <c r="B6" i="18"/>
  <c r="B4" i="18"/>
  <c r="B26" i="18" l="1"/>
  <c r="E79" i="2"/>
  <c r="H32" i="13"/>
  <c r="H35" i="13"/>
  <c r="H33" i="13"/>
  <c r="H36" i="13"/>
  <c r="H25" i="13"/>
  <c r="H24" i="13"/>
  <c r="H26" i="13"/>
  <c r="H27" i="13"/>
  <c r="H31" i="13"/>
  <c r="H34" i="13"/>
  <c r="H29" i="13"/>
  <c r="H28" i="13"/>
  <c r="H37" i="13"/>
  <c r="H30" i="13"/>
  <c r="B10" i="18"/>
  <c r="B25" i="18"/>
  <c r="B24" i="18"/>
  <c r="B39" i="18"/>
  <c r="B18" i="18"/>
  <c r="B8" i="18"/>
  <c r="B22" i="18"/>
  <c r="B5" i="18"/>
  <c r="B7" i="18"/>
  <c r="B11" i="18"/>
  <c r="B34" i="18"/>
  <c r="B9" i="18" l="1"/>
  <c r="B37" i="18"/>
  <c r="B36" i="18"/>
  <c r="B43" i="18" s="1"/>
  <c r="B23" i="18"/>
  <c r="B35" i="18"/>
  <c r="B40" i="18"/>
  <c r="B49" i="18" s="1"/>
  <c r="B33" i="18"/>
  <c r="B32" i="18"/>
  <c r="B52" i="18" l="1"/>
  <c r="B38" i="18"/>
  <c r="B44" i="18" s="1"/>
  <c r="B42" i="18" l="1"/>
  <c r="B51" i="18" s="1"/>
  <c r="C104" i="2" s="1"/>
  <c r="C18" i="12" s="1"/>
  <c r="B41" i="18"/>
  <c r="B50" i="18" s="1"/>
  <c r="B104" i="2" s="1"/>
  <c r="B18" i="12" s="1"/>
  <c r="B122" i="2" l="1"/>
  <c r="J3" i="6"/>
  <c r="J2" i="6"/>
  <c r="J5" i="6"/>
  <c r="J6" i="6"/>
  <c r="J4" i="6"/>
  <c r="J11" i="6"/>
  <c r="J8" i="6"/>
  <c r="J10" i="6"/>
  <c r="J9" i="6"/>
  <c r="J7" i="6"/>
  <c r="C122" i="2"/>
  <c r="C36" i="12" s="1"/>
  <c r="J23" i="6"/>
  <c r="J19" i="6"/>
  <c r="J15" i="6"/>
  <c r="J21" i="6"/>
  <c r="J17" i="6"/>
  <c r="J24" i="6"/>
  <c r="J18" i="6"/>
  <c r="J20" i="6"/>
  <c r="J16" i="6"/>
  <c r="J22" i="6"/>
  <c r="C3" i="11"/>
  <c r="B36" i="12" l="1"/>
  <c r="B20" i="13"/>
  <c r="B19" i="13"/>
  <c r="B18" i="13"/>
  <c r="B17" i="13"/>
  <c r="B16" i="13"/>
  <c r="B15" i="13"/>
  <c r="B14" i="13"/>
  <c r="B11" i="13"/>
  <c r="B10" i="13"/>
  <c r="B9" i="13"/>
  <c r="B8" i="13"/>
  <c r="B7" i="13"/>
  <c r="B14" i="10"/>
  <c r="C14" i="10"/>
  <c r="AJ22" i="10" s="1"/>
  <c r="C11" i="10"/>
  <c r="AM13" i="10" s="1"/>
  <c r="C10" i="10"/>
  <c r="AM11" i="10" s="1"/>
  <c r="AK10" i="10"/>
  <c r="P29" i="13" l="1"/>
  <c r="C12" i="10"/>
  <c r="AM14" i="10" s="1"/>
  <c r="B28" i="13"/>
  <c r="E69" i="2" s="1"/>
  <c r="B31" i="13"/>
  <c r="E72" i="2" s="1"/>
  <c r="B34" i="13"/>
  <c r="E75" i="2" s="1"/>
  <c r="B36" i="13"/>
  <c r="E77" i="2" s="1"/>
  <c r="B35" i="13"/>
  <c r="E76" i="2" s="1"/>
  <c r="B37" i="13"/>
  <c r="E78" i="2" s="1"/>
  <c r="B25" i="13"/>
  <c r="E66" i="2" s="1"/>
  <c r="B27" i="13"/>
  <c r="E68" i="2" s="1"/>
  <c r="B26" i="13"/>
  <c r="E67" i="2" s="1"/>
  <c r="B32" i="13"/>
  <c r="E73" i="2" s="1"/>
  <c r="B33" i="13"/>
  <c r="E74" i="2" s="1"/>
  <c r="B24" i="13"/>
  <c r="E65" i="2" s="1"/>
  <c r="P34" i="13" l="1"/>
  <c r="B3" i="11" l="1"/>
  <c r="B5" i="11" l="1"/>
  <c r="B6" i="11" s="1"/>
  <c r="B8" i="11" s="1"/>
  <c r="C5" i="11"/>
  <c r="C6" i="11" s="1"/>
  <c r="C8" i="11" s="1"/>
  <c r="AJ36" i="10"/>
  <c r="C6" i="10"/>
  <c r="C7" i="10"/>
  <c r="C8" i="10"/>
  <c r="C5" i="10"/>
  <c r="AM10" i="10" s="1"/>
  <c r="AP10" i="10" s="1"/>
  <c r="C9" i="10"/>
  <c r="AJ63" i="10"/>
  <c r="AA61" i="10"/>
  <c r="AJ57" i="10"/>
  <c r="AA55" i="10"/>
  <c r="AA36" i="10"/>
  <c r="AA54" i="10" s="1"/>
  <c r="AK17" i="10"/>
  <c r="AK16" i="10"/>
  <c r="AD16" i="10"/>
  <c r="AA16" i="10"/>
  <c r="AK15" i="10"/>
  <c r="AD15" i="10"/>
  <c r="AA15" i="10"/>
  <c r="AK14" i="10"/>
  <c r="AD14" i="10"/>
  <c r="AA14" i="10"/>
  <c r="AK13" i="10"/>
  <c r="AD13" i="10"/>
  <c r="AA13" i="10"/>
  <c r="AK12" i="10"/>
  <c r="AD12" i="10"/>
  <c r="AA12" i="10"/>
  <c r="AK11" i="10"/>
  <c r="AD11" i="10"/>
  <c r="AA11" i="10"/>
  <c r="AD10" i="10"/>
  <c r="AA10" i="10"/>
  <c r="AK18" i="10" l="1"/>
  <c r="AD17" i="10"/>
  <c r="AA27" i="10" s="1"/>
  <c r="AA28" i="10" s="1"/>
  <c r="AA30" i="10" s="1"/>
  <c r="AA31" i="10" s="1"/>
  <c r="AA33" i="10" s="1"/>
  <c r="AE23" i="10" s="1"/>
  <c r="AE31" i="10" s="1"/>
  <c r="AA17" i="10"/>
  <c r="B110" i="2"/>
  <c r="B24" i="12" s="1"/>
  <c r="C110" i="2"/>
  <c r="AM15" i="10"/>
  <c r="AP15" i="10" s="1"/>
  <c r="AM12" i="10"/>
  <c r="AL5" i="10" s="1"/>
  <c r="AJ56" i="10" s="1"/>
  <c r="AM17" i="10"/>
  <c r="AP17" i="10" s="1"/>
  <c r="AM16" i="10"/>
  <c r="AM5" i="10" s="1"/>
  <c r="AJ25" i="10"/>
  <c r="AP5" i="10"/>
  <c r="AJ44" i="10" s="1"/>
  <c r="AP12" i="10"/>
  <c r="AA49" i="10"/>
  <c r="AA50" i="10" s="1"/>
  <c r="AA51" i="10" s="1"/>
  <c r="AE26" i="10" s="1"/>
  <c r="AA38" i="10"/>
  <c r="AA42" i="10" s="1"/>
  <c r="AA39" i="10"/>
  <c r="AA43" i="10" s="1"/>
  <c r="AJ51" i="10"/>
  <c r="AJ52" i="10" s="1"/>
  <c r="AJ53" i="10" s="1"/>
  <c r="AN26" i="10" s="1"/>
  <c r="AA52" i="10"/>
  <c r="AA56" i="10" s="1"/>
  <c r="AA62" i="10"/>
  <c r="AA64" i="10" s="1"/>
  <c r="AA65" i="10" s="1"/>
  <c r="AA66" i="10" s="1"/>
  <c r="AE27" i="10" s="1"/>
  <c r="AA53" i="10"/>
  <c r="AA58" i="10" s="1"/>
  <c r="AJ64" i="10"/>
  <c r="AJ66" i="10" s="1"/>
  <c r="AJ67" i="10" s="1"/>
  <c r="AJ68" i="10" s="1"/>
  <c r="AN27" i="10" s="1"/>
  <c r="C24" i="12" l="1"/>
  <c r="B5" i="12"/>
  <c r="C128" i="2"/>
  <c r="C42" i="12" s="1"/>
  <c r="P24" i="6"/>
  <c r="P20" i="6"/>
  <c r="P16" i="6"/>
  <c r="P21" i="6"/>
  <c r="P17" i="6"/>
  <c r="P22" i="6"/>
  <c r="P18" i="6"/>
  <c r="P23" i="6"/>
  <c r="P15" i="6"/>
  <c r="P19" i="6"/>
  <c r="B128" i="2"/>
  <c r="B42" i="12" s="1"/>
  <c r="P11" i="6"/>
  <c r="P10" i="6"/>
  <c r="P9" i="6"/>
  <c r="P6" i="6"/>
  <c r="P5" i="6"/>
  <c r="P4" i="6"/>
  <c r="P3" i="6"/>
  <c r="P2" i="6"/>
  <c r="P8" i="6"/>
  <c r="P7" i="6"/>
  <c r="AN5" i="10"/>
  <c r="AJ55" i="10" s="1"/>
  <c r="AJ60" i="10" s="1"/>
  <c r="AA59" i="10"/>
  <c r="AA60" i="10" s="1"/>
  <c r="AE25" i="10" s="1"/>
  <c r="AP16" i="10"/>
  <c r="AQ5" i="10"/>
  <c r="AJ45" i="10" s="1"/>
  <c r="AO11" i="10"/>
  <c r="AN15" i="10"/>
  <c r="AN16" i="10"/>
  <c r="AN17" i="10"/>
  <c r="AN12" i="10"/>
  <c r="AN13" i="10"/>
  <c r="AN14" i="10"/>
  <c r="AN11" i="10"/>
  <c r="AO17" i="10"/>
  <c r="AO13" i="10"/>
  <c r="AN10" i="10"/>
  <c r="AO15" i="10"/>
  <c r="AO14" i="10"/>
  <c r="AO12" i="10"/>
  <c r="AO16" i="10"/>
  <c r="AO10" i="10"/>
  <c r="AA44" i="10"/>
  <c r="AA46" i="10" s="1"/>
  <c r="AE24" i="10" s="1"/>
  <c r="AF31" i="10" l="1"/>
  <c r="AO18" i="10"/>
  <c r="AE22" i="10"/>
  <c r="AN18" i="10" l="1"/>
  <c r="AJ5" i="10" l="1"/>
  <c r="AP13" i="10"/>
  <c r="AO5" i="10"/>
  <c r="AJ39" i="10" s="1"/>
  <c r="AJ43" i="10" s="1"/>
  <c r="AP11" i="10" l="1"/>
  <c r="AP14" i="10"/>
  <c r="AK5" i="10"/>
  <c r="AM18" i="10"/>
  <c r="AJ38" i="10" l="1"/>
  <c r="AJ42" i="10" s="1"/>
  <c r="AJ46" i="10" s="1"/>
  <c r="AJ48" i="10" s="1"/>
  <c r="AN24" i="10" s="1"/>
  <c r="AP18" i="10"/>
  <c r="AJ27" i="10" s="1"/>
  <c r="AJ28" i="10" s="1"/>
  <c r="AJ30" i="10" s="1"/>
  <c r="AJ31" i="10" s="1"/>
  <c r="AJ33" i="10" s="1"/>
  <c r="AN23" i="10" s="1"/>
  <c r="AN31" i="10" s="1"/>
  <c r="AJ54" i="10"/>
  <c r="AJ58" i="10" s="1"/>
  <c r="AJ61" i="10" s="1"/>
  <c r="AJ62" i="10" s="1"/>
  <c r="AN25" i="10" s="1"/>
  <c r="AN22" i="10" l="1"/>
  <c r="K2" i="10" s="1"/>
  <c r="AO31" i="10"/>
  <c r="B107" i="2" l="1"/>
  <c r="B21" i="12" s="1"/>
  <c r="C107" i="2"/>
  <c r="C21" i="12" l="1"/>
  <c r="B4" i="12"/>
  <c r="C125" i="2"/>
  <c r="C39" i="12" s="1"/>
  <c r="M24" i="6"/>
  <c r="M20" i="6"/>
  <c r="M16" i="6"/>
  <c r="M21" i="6"/>
  <c r="M17" i="6"/>
  <c r="M15" i="6"/>
  <c r="M23" i="6"/>
  <c r="M19" i="6"/>
  <c r="M18" i="6"/>
  <c r="M22" i="6"/>
  <c r="B125" i="2"/>
  <c r="B39" i="12" s="1"/>
  <c r="M3" i="6"/>
  <c r="M2" i="6"/>
  <c r="M10" i="6"/>
  <c r="M7" i="6"/>
  <c r="M11" i="6"/>
  <c r="M9" i="6"/>
  <c r="M4" i="6"/>
  <c r="M8" i="6"/>
  <c r="M6" i="6"/>
  <c r="M5" i="6"/>
  <c r="B83" i="1"/>
  <c r="B70" i="1"/>
  <c r="G20" i="1"/>
  <c r="G12" i="1"/>
  <c r="D7" i="1" l="1"/>
  <c r="E47" i="2"/>
  <c r="C88" i="2" s="1"/>
  <c r="E34" i="2"/>
  <c r="G7" i="1"/>
  <c r="C86" i="2" l="1"/>
  <c r="D86" i="2" s="1"/>
  <c r="C101" i="2"/>
  <c r="C15" i="12" s="1"/>
  <c r="D88" i="2"/>
  <c r="P27" i="13"/>
  <c r="P32" i="13"/>
  <c r="C119" i="2" l="1"/>
  <c r="C33" i="12" s="1"/>
  <c r="G19" i="6"/>
  <c r="G15" i="6"/>
  <c r="G23" i="6"/>
  <c r="G24" i="6"/>
  <c r="G20" i="6"/>
  <c r="G16" i="6"/>
  <c r="G21" i="6"/>
  <c r="G18" i="6"/>
  <c r="G17" i="6"/>
  <c r="G22" i="6"/>
  <c r="P33" i="13"/>
  <c r="P28" i="13"/>
  <c r="P35" i="13" l="1"/>
  <c r="P30" i="13"/>
  <c r="B30" i="13"/>
  <c r="E71" i="2" s="1"/>
  <c r="B29" i="13"/>
  <c r="E70" i="2" s="1"/>
  <c r="G26" i="1" l="1"/>
  <c r="G25" i="1"/>
  <c r="G24" i="1"/>
  <c r="B10" i="15" l="1"/>
  <c r="P31" i="13"/>
  <c r="P36" i="13"/>
  <c r="B11" i="15"/>
  <c r="B16" i="15" s="1"/>
  <c r="C16" i="15" s="1"/>
  <c r="P37" i="13" l="1"/>
  <c r="P38" i="13" s="1"/>
  <c r="E16" i="15"/>
  <c r="B20" i="15" s="1"/>
  <c r="C20" i="15" s="1"/>
  <c r="D16" i="15"/>
  <c r="B15" i="15"/>
  <c r="C15" i="15" s="1"/>
  <c r="D15" i="15" s="1"/>
  <c r="B19" i="15" s="1"/>
  <c r="B44" i="13" l="1"/>
  <c r="B52" i="13" s="1"/>
  <c r="B46" i="13"/>
  <c r="C19" i="15"/>
  <c r="C109" i="2" s="1"/>
  <c r="C23" i="12" s="1"/>
  <c r="B45" i="13"/>
  <c r="C127" i="2" l="1"/>
  <c r="C41" i="12" s="1"/>
  <c r="O24" i="6"/>
  <c r="O20" i="6"/>
  <c r="O16" i="6"/>
  <c r="O22" i="6"/>
  <c r="O18" i="6"/>
  <c r="O23" i="6"/>
  <c r="O17" i="6"/>
  <c r="O19" i="6"/>
  <c r="O21" i="6"/>
  <c r="O15" i="6"/>
  <c r="B49" i="13"/>
  <c r="B53" i="13"/>
  <c r="B48" i="13"/>
  <c r="B50" i="13" s="1"/>
  <c r="B109" i="2"/>
  <c r="B23" i="12" s="1"/>
  <c r="B127" i="2" l="1"/>
  <c r="B41" i="12" s="1"/>
  <c r="O3" i="6"/>
  <c r="O2" i="6"/>
  <c r="O5" i="6"/>
  <c r="O10" i="6"/>
  <c r="O4" i="6"/>
  <c r="O11" i="6"/>
  <c r="O7" i="6"/>
  <c r="O6" i="6"/>
  <c r="O9" i="6"/>
  <c r="O8" i="6"/>
  <c r="B57" i="13"/>
  <c r="B54" i="13"/>
  <c r="B56" i="13"/>
  <c r="B58" i="13" l="1"/>
  <c r="C106" i="2" l="1"/>
  <c r="C20" i="12" s="1"/>
  <c r="B106" i="2"/>
  <c r="B20" i="12" s="1"/>
  <c r="C92" i="2"/>
  <c r="D92" i="2" s="1"/>
  <c r="B124" i="2" l="1"/>
  <c r="L11" i="6"/>
  <c r="Q11" i="6" s="1"/>
  <c r="L10" i="6"/>
  <c r="Q10" i="6" s="1"/>
  <c r="L9" i="6"/>
  <c r="Q9" i="6" s="1"/>
  <c r="L6" i="6"/>
  <c r="Q6" i="6" s="1"/>
  <c r="L2" i="6"/>
  <c r="Q2" i="6" s="1"/>
  <c r="L5" i="6"/>
  <c r="Q5" i="6" s="1"/>
  <c r="L4" i="6"/>
  <c r="Q4" i="6" s="1"/>
  <c r="L3" i="6"/>
  <c r="Q3" i="6" s="1"/>
  <c r="L8" i="6"/>
  <c r="Q8" i="6" s="1"/>
  <c r="L7" i="6"/>
  <c r="Q7" i="6" s="1"/>
  <c r="C124" i="2"/>
  <c r="C38" i="12" s="1"/>
  <c r="L24" i="6"/>
  <c r="Q24" i="6" s="1"/>
  <c r="L20" i="6"/>
  <c r="Q20" i="6" s="1"/>
  <c r="L16" i="6"/>
  <c r="Q16" i="6" s="1"/>
  <c r="L21" i="6"/>
  <c r="Q21" i="6" s="1"/>
  <c r="L17" i="6"/>
  <c r="Q17" i="6" s="1"/>
  <c r="L23" i="6"/>
  <c r="Q23" i="6" s="1"/>
  <c r="L15" i="6"/>
  <c r="Q15" i="6" s="1"/>
  <c r="L22" i="6"/>
  <c r="Q22" i="6" s="1"/>
  <c r="L19" i="6"/>
  <c r="Q19" i="6" s="1"/>
  <c r="L18" i="6"/>
  <c r="Q18" i="6" s="1"/>
  <c r="C111" i="2"/>
  <c r="B111" i="2"/>
  <c r="B129" i="2" l="1"/>
  <c r="B43" i="12" s="1"/>
  <c r="B25" i="12"/>
  <c r="C129" i="2"/>
  <c r="C25" i="12"/>
  <c r="B38" i="12"/>
  <c r="G10" i="12"/>
  <c r="G11" i="12" s="1"/>
  <c r="G13" i="12" l="1"/>
  <c r="G12" i="12" s="1"/>
  <c r="C43"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<sst xmlns="http://schemas.openxmlformats.org/spreadsheetml/2006/main" count="1062" uniqueCount="596">
  <si>
    <t>Total Farmland (acres)</t>
  </si>
  <si>
    <t>Value</t>
  </si>
  <si>
    <t>Source</t>
  </si>
  <si>
    <t>Average farm size (acres)</t>
  </si>
  <si>
    <t>Pastureland (acres)</t>
  </si>
  <si>
    <t>Woodland (acres)</t>
  </si>
  <si>
    <t>Other (acres)</t>
  </si>
  <si>
    <t>Corn for grain (acres)</t>
  </si>
  <si>
    <t>Forage (hay/haylage) (acres)</t>
  </si>
  <si>
    <t>Soybeans for beans (acres)</t>
  </si>
  <si>
    <t>Corn for silage or greenchop (acres)</t>
  </si>
  <si>
    <t>Vegetables harvested, all (acres)</t>
  </si>
  <si>
    <t>Current No Till (acres)</t>
  </si>
  <si>
    <t>Current Reduced Till (acres)</t>
  </si>
  <si>
    <t>Current Intensive Till (acres)</t>
  </si>
  <si>
    <t>Cover Crops</t>
  </si>
  <si>
    <t>Practice</t>
  </si>
  <si>
    <t>McClelland et al. 2021</t>
  </si>
  <si>
    <t>Abdalla et al. 2019</t>
  </si>
  <si>
    <t>Poeplau &amp; Don 2015</t>
  </si>
  <si>
    <t>King &amp; Blesh 2018</t>
  </si>
  <si>
    <t>Jian et al. 2020</t>
  </si>
  <si>
    <t>COMET-Planner</t>
  </si>
  <si>
    <t>Legumes in WI</t>
  </si>
  <si>
    <t>Non-Legumes in WI</t>
  </si>
  <si>
    <t>No Till</t>
  </si>
  <si>
    <t>Virto et al. 2012</t>
  </si>
  <si>
    <t>Meurer et al. 2018</t>
  </si>
  <si>
    <t>Ogle et al. 2019</t>
  </si>
  <si>
    <t>Haddayway et al. 2017</t>
  </si>
  <si>
    <t>Luo et al. 2010</t>
  </si>
  <si>
    <t>Conversion from reduced till; Top 30 cm</t>
  </si>
  <si>
    <t>Conversion from intensive till; Top 30 cm</t>
  </si>
  <si>
    <t>Silvopasture</t>
  </si>
  <si>
    <t>Cardinael et al. 2018</t>
  </si>
  <si>
    <t>Feliciano et al. 2018</t>
  </si>
  <si>
    <t>Udawatta &amp; Jose 2015</t>
  </si>
  <si>
    <t>Kim et al 2016</t>
  </si>
  <si>
    <t>Drever et al. 2021</t>
  </si>
  <si>
    <t>Windbreaks</t>
  </si>
  <si>
    <t>Alley Cropping/Intercropping</t>
  </si>
  <si>
    <t>Climate Mitigation Potential (Mg CO2 per ha per yr)</t>
  </si>
  <si>
    <t>Perennials</t>
  </si>
  <si>
    <t>Ledo et al. 2020</t>
  </si>
  <si>
    <t>Pasture/grassland</t>
  </si>
  <si>
    <t>Conant et al. 2017</t>
  </si>
  <si>
    <t>Becker et al. 2022</t>
  </si>
  <si>
    <t>Fargione et al. 2018</t>
  </si>
  <si>
    <t>Carmago et al. 2013</t>
  </si>
  <si>
    <t>Bellarby et al. 2008</t>
  </si>
  <si>
    <t>NuGIS</t>
  </si>
  <si>
    <t>Estimates 315,183 Mg N fertilizer applied in WI per year; divided this by total cropland area</t>
  </si>
  <si>
    <t>Cao et al. 2017</t>
  </si>
  <si>
    <t>Estimates 331,801 Mg N fertilizer applied in WI per year; divided this by total cropland area</t>
  </si>
  <si>
    <t>Falcone 2020</t>
  </si>
  <si>
    <t>Estimates 342,687 Mg N fertilizer applied in WI per year; divided this by total cropland area</t>
  </si>
  <si>
    <t>N fertilizer application (Mg per acre)</t>
  </si>
  <si>
    <t>Grace et al. 2011</t>
  </si>
  <si>
    <t>Griffis et al. 2013</t>
  </si>
  <si>
    <t>Gerber et al. 2016</t>
  </si>
  <si>
    <t>US average</t>
  </si>
  <si>
    <t>US corn</t>
  </si>
  <si>
    <t>Shcherbak et al. 2014</t>
  </si>
  <si>
    <t>Direct soil emissions factor (%; N2O emissions as a percent of total N input)</t>
  </si>
  <si>
    <t>Direct soil emissions factor (g N2O-N per ha)</t>
  </si>
  <si>
    <t>Hoben et al. 2010</t>
  </si>
  <si>
    <t>(6.49+0.0187N)*N</t>
  </si>
  <si>
    <t>(4.36+0.0025N)*N</t>
  </si>
  <si>
    <t>Top down emissions factor (%)</t>
  </si>
  <si>
    <t>Mosier et al. 1998</t>
  </si>
  <si>
    <t>Prather et al. 2001</t>
  </si>
  <si>
    <t>Crutzen et al. 2008</t>
  </si>
  <si>
    <t>Davidson et al. 2009</t>
  </si>
  <si>
    <t>Thompson et al. 2019</t>
  </si>
  <si>
    <t>Franzleubber et al. 2010</t>
  </si>
  <si>
    <t>Stanley et al. 2018</t>
  </si>
  <si>
    <t>NCS Practice</t>
  </si>
  <si>
    <t>Practice Code</t>
  </si>
  <si>
    <t>Cover Crop</t>
  </si>
  <si>
    <t>Pasture/Grassland</t>
  </si>
  <si>
    <t>CO2eq (Mg CO2eq/yr)</t>
  </si>
  <si>
    <t>Nitrogen Nutrient Management</t>
  </si>
  <si>
    <t>N Fertilizer Production Emissions (Mg CO2eq/yr)</t>
  </si>
  <si>
    <t>Average N Fertilizer Application (kg/ha/yr)</t>
  </si>
  <si>
    <t>N Fertilizer application reduction (%)</t>
  </si>
  <si>
    <t>CO2eq (Mg CO2eq/yr/acre)</t>
  </si>
  <si>
    <t>Gasoline-powered passenger vehicles per year</t>
  </si>
  <si>
    <t>VMT by average gasoline-powered passenger vehicle</t>
  </si>
  <si>
    <t>Home electricity use</t>
  </si>
  <si>
    <t>Home energy use</t>
  </si>
  <si>
    <t>Coal-fired power plant emissions for one year</t>
  </si>
  <si>
    <t>Natural gas-fired power plant emissions for one year</t>
  </si>
  <si>
    <t>Number of wind turbines running for a year</t>
  </si>
  <si>
    <t>Number of smartphones charged</t>
  </si>
  <si>
    <t>Number of garbage trucks of waste recycled instead of landfilled</t>
  </si>
  <si>
    <t>Number of incandescent bults switched to LED bulbs</t>
  </si>
  <si>
    <t>Current Cover Crop Adoption (acres)</t>
  </si>
  <si>
    <t>Scenario Inputs</t>
  </si>
  <si>
    <t>Notes</t>
  </si>
  <si>
    <t>N fertilizer production (g CO2eq per g N fertilizer)</t>
  </si>
  <si>
    <t>Blanco-Canqui 2022</t>
  </si>
  <si>
    <t>Variable</t>
  </si>
  <si>
    <t>Potentials based on individual studies</t>
  </si>
  <si>
    <t>Median Potential Calculations</t>
  </si>
  <si>
    <t>Calculating current average N fertilizer application across nutrient management area being modeled</t>
  </si>
  <si>
    <t>Calculating reduced N fertilizer application across nutrient management area being modeled</t>
  </si>
  <si>
    <t>Calculation based on current use of each type of nitrogen fertilier in the U.S.</t>
  </si>
  <si>
    <t>Lower end of reported range</t>
  </si>
  <si>
    <t>Upper end of reported range</t>
  </si>
  <si>
    <t>U.S. North Central Region</t>
  </si>
  <si>
    <t>U.S. North Central Region; N = kg N per ha, output is g N2O-N per ha</t>
  </si>
  <si>
    <t>Global value for upland grain crops; N = kg N per ha, output is g N2O-N per ha</t>
  </si>
  <si>
    <t>Global estimate</t>
  </si>
  <si>
    <t>Global estimate; Average from reported range: 2.6-5.5%</t>
  </si>
  <si>
    <t>Global estimate; Average from reported range: 3-5%</t>
  </si>
  <si>
    <t>United States studies</t>
  </si>
  <si>
    <t>Global studies</t>
  </si>
  <si>
    <t>Global studies, but temperate-climate biased</t>
  </si>
  <si>
    <t>Value for top 30 cm; global studies with a focus on Europe and North America</t>
  </si>
  <si>
    <t>Top 60 cm; Canadian studies, wet and cool climates</t>
  </si>
  <si>
    <t>Top 150 cm; global boreo-temperate regions</t>
  </si>
  <si>
    <t>Global value; Top 60 cm (up to 140 cm)</t>
  </si>
  <si>
    <t>Global</t>
  </si>
  <si>
    <t>North American value; above ground biomass only</t>
  </si>
  <si>
    <t>North American value; above ground biomass + SOC</t>
  </si>
  <si>
    <t>Global; aboveground biomass + SOC</t>
  </si>
  <si>
    <t>North America, cool/temperate climate; biomass + SOC</t>
  </si>
  <si>
    <t>North America; above ground biomass + SOC</t>
  </si>
  <si>
    <t>North America; only report a total, no biomass/SOC distinction</t>
  </si>
  <si>
    <t>North American studies, temperate climates; biomass + SOC</t>
  </si>
  <si>
    <t>Global, with temperate climate bias; only report a total, no biomass/SOC distinction</t>
  </si>
  <si>
    <t>Global; Biomass + SOC</t>
  </si>
  <si>
    <t>Michigan study</t>
  </si>
  <si>
    <t>Southeastern US</t>
  </si>
  <si>
    <t>Central/Southern WI</t>
  </si>
  <si>
    <t>Cover Crops (Abdalla et al.)</t>
  </si>
  <si>
    <t>Cover Crops  (Poplau &amp; Don)</t>
  </si>
  <si>
    <t>Cover Crops (King &amp; Blesh)</t>
  </si>
  <si>
    <t>Cover Crops (Jian et al.)</t>
  </si>
  <si>
    <t>Cover Crops (COMET)</t>
  </si>
  <si>
    <t>Cover Crops (Blanco-Canqui)</t>
  </si>
  <si>
    <t>No Till (Virto et al.)</t>
  </si>
  <si>
    <t>Liang et al. 2020</t>
  </si>
  <si>
    <t>No Till (Meurer et al.)</t>
  </si>
  <si>
    <t>No Till (Liang et al.)</t>
  </si>
  <si>
    <t>No Till (Ogle et al.)</t>
  </si>
  <si>
    <t>No Till (Haddayway et al.)</t>
  </si>
  <si>
    <t>No Till (Luo et al.)</t>
  </si>
  <si>
    <t>No Till (COMET)</t>
  </si>
  <si>
    <t>Silvopasture (Cardinael et al.)</t>
  </si>
  <si>
    <t>Silvopasture (Udawatta &amp; Jose)</t>
  </si>
  <si>
    <t>Silvopasture (Kim et al)</t>
  </si>
  <si>
    <t>Silvopasture (Drever et al.)</t>
  </si>
  <si>
    <t>Windbreaks (Cardinael et al.)</t>
  </si>
  <si>
    <t>Silvopasture (Feliciano et al.)</t>
  </si>
  <si>
    <t>Windbreaks (Feliciano et al.)</t>
  </si>
  <si>
    <t>Windbreaks (Udawatta &amp; Jose)</t>
  </si>
  <si>
    <t>Windbreaks (Kim et al)</t>
  </si>
  <si>
    <t>Windbreaks (Fargione et al.)</t>
  </si>
  <si>
    <t>Alley Cropping/Intercropping (Cardinael et al.)</t>
  </si>
  <si>
    <t>Alley Cropping/Intercropping (Feliciano et al.)</t>
  </si>
  <si>
    <t>Alley Cropping/Intercropping (Udawatta &amp; Jose)</t>
  </si>
  <si>
    <t>Alley Cropping/Intercropping (Fargione et al.)</t>
  </si>
  <si>
    <t>Alley Cropping/Intercropping (Drever et al.)</t>
  </si>
  <si>
    <t>Perennials (King &amp; Blesh)</t>
  </si>
  <si>
    <t>Perennials (Ledo et al.)</t>
  </si>
  <si>
    <t>Pasture/grassland (Conant et al.)</t>
  </si>
  <si>
    <t>Pasture/grassland (Becker et al. )</t>
  </si>
  <si>
    <t>Pasture/grassland (Franzluebber et al.)</t>
  </si>
  <si>
    <t>Pasture/grassland (Stanley et al.)</t>
  </si>
  <si>
    <t>Cover Crops (McClelland et al.)</t>
  </si>
  <si>
    <t>Nitrogen Nutrient Management (Grace et al.)</t>
  </si>
  <si>
    <t>Nitrogen Nutrient Management (IPCC)</t>
  </si>
  <si>
    <t>Nitrogen Nutrient Management (Griffis et al)</t>
  </si>
  <si>
    <t>Nitrogen Nutrient Management (Shcherbak et al.)</t>
  </si>
  <si>
    <t>Nitrogen Nutrient Management (Hoben et al.)</t>
  </si>
  <si>
    <t>Nitrogen Nutrient Management (Mosier et al.)</t>
  </si>
  <si>
    <t>Nitrogen Nutrient Management (Prather et al.)</t>
  </si>
  <si>
    <t>Nitrogen Nutrient Management (Crutzen et al.)</t>
  </si>
  <si>
    <t>Nitrogen Nutrient Management (Davidson et al.)</t>
  </si>
  <si>
    <t>Nitrogen Nutrient Management (Thompson et al.)</t>
  </si>
  <si>
    <t>Total</t>
  </si>
  <si>
    <t>CO2 Eq Emissions (MMT)</t>
  </si>
  <si>
    <t>Global studies for temperate-cool climates</t>
  </si>
  <si>
    <t>Nitrogen Nutrient Management (Gerber et al. US)</t>
  </si>
  <si>
    <t>Nitrogen Nutrient Management (Gerber et al. US Corn)</t>
  </si>
  <si>
    <t>Riparian Buffers</t>
  </si>
  <si>
    <t>North American studies, temperate climates; biomass + SOC; average of early sequestration (10 yrs) and mature sequestration (30+ yrs)</t>
  </si>
  <si>
    <t>North American value; biomass + SOC; buffers lumped in with other "woodlots" in this analysis</t>
  </si>
  <si>
    <t>Typical value for geographically representative counties in WI</t>
  </si>
  <si>
    <t>Riparian Buffers (Feliciano et al.)</t>
  </si>
  <si>
    <t>Riparian Buffers (Udawatta &amp; Jose)</t>
  </si>
  <si>
    <t>Riparian Buffers (Kim et al.)</t>
  </si>
  <si>
    <t>Riparian Buffers (Drever et al.)</t>
  </si>
  <si>
    <t>Riparian Buffers (COMET-Planner)</t>
  </si>
  <si>
    <t>Total cropland area (acres)</t>
  </si>
  <si>
    <t>Direct Soil Emissions (Mg CO2eq/yr; IPCC)</t>
  </si>
  <si>
    <t>Direct Soil Emissions (Mg CO2eq/yr; Grace et al.)</t>
  </si>
  <si>
    <t>Direct Soil Emissions (Mg CO2eq/yr; Griffis et al.)</t>
  </si>
  <si>
    <t>Direct Soil Emissions (Mg CO2eq/yr; Gerber US avg)</t>
  </si>
  <si>
    <t>Direct Soil Emissions (Mg CO2eq/yr; Gerber US corn)</t>
  </si>
  <si>
    <t>Direct Soil Emissions (Mg CO2eq/yr; Hoben et al.)</t>
  </si>
  <si>
    <t>Direct Soil Emissions (Mg CO2eq/yr; Shcherbak et al.)</t>
  </si>
  <si>
    <t>TopDown_All Emissions (Mg CO2eq/yr; Mosier et al)</t>
  </si>
  <si>
    <t>TopDown_All Emissions (Mg CO2eq/yr; Prather et al)</t>
  </si>
  <si>
    <t>TopDown_All Emissions (Mg CO2eq/yr; Crutzen et al)</t>
  </si>
  <si>
    <t>TopDown_All Emissions (Mg CO2eq/yr; Davidson et al)</t>
  </si>
  <si>
    <t>TopDown_All Emissions (Mg CO2eq/yr; Thompson et al.)</t>
  </si>
  <si>
    <t>Total CO2eq_Current (Production + Field Emissions)</t>
  </si>
  <si>
    <t>Direct Soil Emissions (Mg CO2eq/yr; Grace et al)</t>
  </si>
  <si>
    <t>Direct Soil Emissions (Mg CO2eq/yr; Griffis et al)</t>
  </si>
  <si>
    <t>Direct Soil Emissions (Mg CO2eq/yr; Shcherbak et al)</t>
  </si>
  <si>
    <t>Direct Soil Emissions (Mg CO2eq/yr; Hoben et al)</t>
  </si>
  <si>
    <t>TopDown_All Emissions (Mg CO2eq/yr; Davdison et al)</t>
  </si>
  <si>
    <t>Remainder</t>
  </si>
  <si>
    <t>Available Cover Crop Adoption (acres)</t>
  </si>
  <si>
    <t>USDA 2022 Agricultural Census</t>
  </si>
  <si>
    <t>407627 is pastured woodland</t>
  </si>
  <si>
    <t>Calculated as cropland-current CC-forage (per CaRPE tool)</t>
  </si>
  <si>
    <t>Top 30 cm; value for cool/moist climates and loamy/silty/clayer soil; Confidence intervals include 0</t>
  </si>
  <si>
    <t>Eastern Canada value</t>
  </si>
  <si>
    <t>WICST</t>
  </si>
  <si>
    <t>Long-term data from Arlington Research Station</t>
  </si>
  <si>
    <t>Joshi et al. 2023</t>
  </si>
  <si>
    <t>Global, temperate climates</t>
  </si>
  <si>
    <t>Angostini et al. 2015</t>
  </si>
  <si>
    <t>Switchgrass &amp; Miscanthus</t>
  </si>
  <si>
    <t>Qin et al. 2016</t>
  </si>
  <si>
    <t>IPCC 2019</t>
  </si>
  <si>
    <t>Global Tier 1 estimate for synthetic N in wet climates</t>
  </si>
  <si>
    <t>EPA SIT</t>
  </si>
  <si>
    <t>Total emissions (direct + indirect) bottom up EF (%)</t>
  </si>
  <si>
    <t>Wet cool climates</t>
  </si>
  <si>
    <t>Uses 2006 and prior IPCC emissions factors</t>
  </si>
  <si>
    <t>North American Studies</t>
  </si>
  <si>
    <t>Replacing cropland with hardwood</t>
  </si>
  <si>
    <t>Replacing cropland with conifer or hardwood</t>
  </si>
  <si>
    <t>1 US study, all biomass</t>
  </si>
  <si>
    <t>Cover Crops (Joshi)</t>
  </si>
  <si>
    <t>Cover Crops (WICST)</t>
  </si>
  <si>
    <t>No Till (Drever et al.)</t>
  </si>
  <si>
    <t>No Till (WICST)</t>
  </si>
  <si>
    <t>Windbreaks (COMET)</t>
  </si>
  <si>
    <t>Alley Cropping/Intercropping (COMET)</t>
  </si>
  <si>
    <t>Perennials (WICST)</t>
  </si>
  <si>
    <t>Perennials (Qin)</t>
  </si>
  <si>
    <t>Perennials (Angostini)</t>
  </si>
  <si>
    <t>Pasture/grassland (WICST)</t>
  </si>
  <si>
    <t>TopDown_All Emissions (Mg CO2eq/yr; EPA SIT)</t>
  </si>
  <si>
    <t>TopDown_All Emissions (Mg CO2eq/yr; IPCC 2019)</t>
  </si>
  <si>
    <t>Nitrogen Nutrient Management (EPA SIT)</t>
  </si>
  <si>
    <t>Nitrogen Nutrient Management (IPCC 2019)</t>
  </si>
  <si>
    <t>Percent of pasture not "well managed"</t>
  </si>
  <si>
    <t>Grazing optimization</t>
  </si>
  <si>
    <t>Grazing optimization (Henderson)</t>
  </si>
  <si>
    <t>Grazing optimization (Conant)</t>
  </si>
  <si>
    <t>Henderson et al. 2015</t>
  </si>
  <si>
    <t>Global model predicts no benefit in Wisconsin</t>
  </si>
  <si>
    <t>Smith et al. 2008</t>
  </si>
  <si>
    <t>Global value for humid climates</t>
  </si>
  <si>
    <t>Global potential</t>
  </si>
  <si>
    <t>Grazing Optimization</t>
  </si>
  <si>
    <t>Grazing optimization (Smith)</t>
  </si>
  <si>
    <t>Nex Management for N2O Calculations</t>
  </si>
  <si>
    <t>VS Management for Methane Calculations</t>
  </si>
  <si>
    <t>Current %</t>
  </si>
  <si>
    <t>Year &amp; State</t>
  </si>
  <si>
    <t>Anaerobic Lagoon</t>
  </si>
  <si>
    <t>Liquid/ Slurry</t>
  </si>
  <si>
    <t>Daily Spread</t>
  </si>
  <si>
    <t>Solid Storage</t>
  </si>
  <si>
    <t>Pasture</t>
  </si>
  <si>
    <t>Deep Pit</t>
  </si>
  <si>
    <t>VS Managed</t>
  </si>
  <si>
    <t>2018 Proportion</t>
  </si>
  <si>
    <t>MCF</t>
  </si>
  <si>
    <t>Weighted MCF</t>
  </si>
  <si>
    <t>VS Managed_future_BAU</t>
  </si>
  <si>
    <t>Anaerobic Digester</t>
  </si>
  <si>
    <t>2018WI</t>
  </si>
  <si>
    <t>GHG Emissions (CO2eq)</t>
  </si>
  <si>
    <t>Methane</t>
  </si>
  <si>
    <t>N2O</t>
  </si>
  <si>
    <t>Covered and flared</t>
  </si>
  <si>
    <t>Liquid/Slurry</t>
  </si>
  <si>
    <t>Dairy Cows</t>
  </si>
  <si>
    <t>N2O_storage</t>
  </si>
  <si>
    <t>Typical Animal Mass</t>
  </si>
  <si>
    <t>N2O_field</t>
  </si>
  <si>
    <t>VS (kg VS/head/yr)</t>
  </si>
  <si>
    <t>N2O_indirect</t>
  </si>
  <si>
    <t>Cover and Flare</t>
  </si>
  <si>
    <t>Total VS</t>
  </si>
  <si>
    <t>N2O_leaching</t>
  </si>
  <si>
    <t>Max Potential Emissions (B0)</t>
  </si>
  <si>
    <t>CH4 emissions (m3)</t>
  </si>
  <si>
    <t>CH4 m3 to kg conversion</t>
  </si>
  <si>
    <t>AD</t>
  </si>
  <si>
    <t>Covered Lagoon</t>
  </si>
  <si>
    <t>CH4 emissions (MT)</t>
  </si>
  <si>
    <t>CH4 emissions (MMT)</t>
  </si>
  <si>
    <t>CH4 GWP</t>
  </si>
  <si>
    <t>Methane CO2e (MMT)</t>
  </si>
  <si>
    <t>Nex (kg/head/year)</t>
  </si>
  <si>
    <t>Total K-nitrogen (kg/year)</t>
  </si>
  <si>
    <t>VolPct (prop)</t>
  </si>
  <si>
    <t>Unvolatilized N from Manure in Liquid systems (kg)</t>
  </si>
  <si>
    <t>Unvolatilized N from Manure in Solid systems (kg)</t>
  </si>
  <si>
    <t>LiquidEF (prop)</t>
  </si>
  <si>
    <t>SolidEF (prop)</t>
  </si>
  <si>
    <t>Emissions from liquid systems (kg N2O-N)</t>
  </si>
  <si>
    <t>Emissions from solid systems (kg N2O-N)</t>
  </si>
  <si>
    <t>Total Direct Storage Emissions (kg N2O-N)</t>
  </si>
  <si>
    <t>Emissions from ADs (kg N2O-N)</t>
  </si>
  <si>
    <t>N2O GWP</t>
  </si>
  <si>
    <t>Emissions from covered lagoons (kg N2O-N)</t>
  </si>
  <si>
    <t>Total Direct Storage N2O Emissions (MMTCO2eq)</t>
  </si>
  <si>
    <t>Volatilization EF (prop)</t>
  </si>
  <si>
    <t>Prop Indirect Volatilization (Prop)</t>
  </si>
  <si>
    <t>Indirect Animal N2O emissions (MT N)</t>
  </si>
  <si>
    <t>Indirect Animal N2O emissions (MT N2O)</t>
  </si>
  <si>
    <t>Indirect Animal N2O emissions (MMT CO2eq)</t>
  </si>
  <si>
    <t>Nex_Managed Systems</t>
  </si>
  <si>
    <t>Nex_Pasture</t>
  </si>
  <si>
    <t>Nex_DailySpread</t>
  </si>
  <si>
    <t>NonVol EF (prop; EF from manure spread on fields)</t>
  </si>
  <si>
    <t>Managed Manure Direct Emissions (MT N)</t>
  </si>
  <si>
    <t>Pasture EF (prop)</t>
  </si>
  <si>
    <t>Pasture Direct Emissions (MT N)</t>
  </si>
  <si>
    <t>Direct N2O emissions (MT N2O)</t>
  </si>
  <si>
    <t>Direct N2O Emissions (MMT CO2eq)</t>
  </si>
  <si>
    <t>Leach prop(prop nitrogen leaching/runoff)</t>
  </si>
  <si>
    <t>Manure Runoff/Leached (MT)</t>
  </si>
  <si>
    <t>Leach EF2 (prop; N2O EF)</t>
  </si>
  <si>
    <t>Total Leaching/Runoff Emissions (MT N2O-N)</t>
  </si>
  <si>
    <t>Total Leaching/Runoff Emissions (MT N2O)</t>
  </si>
  <si>
    <t>Total Leaching/Runoff Emissions (MMTCO2eq)</t>
  </si>
  <si>
    <t>Total Leaching/Runoff Emissions (CO2eq)</t>
  </si>
  <si>
    <t>Current</t>
  </si>
  <si>
    <t>Current Handling %</t>
  </si>
  <si>
    <t>Manure Management</t>
  </si>
  <si>
    <t>Number of animals</t>
  </si>
  <si>
    <t>Future</t>
  </si>
  <si>
    <t>Emission Factor (kg CH4/head)</t>
  </si>
  <si>
    <t>Emissions (kg CH4)</t>
  </si>
  <si>
    <t>Emissions (MMT CH4)</t>
  </si>
  <si>
    <t>Emissions (MMT CO2eq)</t>
  </si>
  <si>
    <t>Enteric Emissions from animal number reductions</t>
  </si>
  <si>
    <t>Improved grazing practices (% current pasture)</t>
  </si>
  <si>
    <t>Harvested Cropland (acres)</t>
  </si>
  <si>
    <t>Lower</t>
  </si>
  <si>
    <t>Upper</t>
  </si>
  <si>
    <t>Lower Estimate</t>
  </si>
  <si>
    <t>Upper Estimate</t>
  </si>
  <si>
    <t>Upper total</t>
  </si>
  <si>
    <t>Corn to perennial</t>
  </si>
  <si>
    <t>Corn to riparian buffer</t>
  </si>
  <si>
    <t>Corn to wind break</t>
  </si>
  <si>
    <t>Corn to alley crop</t>
  </si>
  <si>
    <t>Soybean to perennial</t>
  </si>
  <si>
    <t>Soybean to riparian buffer</t>
  </si>
  <si>
    <t>Soybean to wind break</t>
  </si>
  <si>
    <t>Soybean to alley crop</t>
  </si>
  <si>
    <t>Per acre N fertilizer</t>
  </si>
  <si>
    <t>NCS per acre N rate</t>
  </si>
  <si>
    <t>Corn acres available for conversion</t>
  </si>
  <si>
    <t>Soybean acres available for conversion</t>
  </si>
  <si>
    <t>Acreage</t>
  </si>
  <si>
    <t>N use reduction</t>
  </si>
  <si>
    <t>Total reduction (pounds)</t>
  </si>
  <si>
    <t>Total reduction (Mg)</t>
  </si>
  <si>
    <t>Avoided N Fertilizer Production Emissions_crop change (Mg CO2eq/yr)</t>
  </si>
  <si>
    <t>Avoided N Fertilizer Production Emissions_N management (Mg CO2eq/yr)</t>
  </si>
  <si>
    <t>Avoided N Fertilizer Production Emissions_total (Mg CO2eq/yr)</t>
  </si>
  <si>
    <t>Avoided TopDown_All Emissions_Crop Change (Mg CO2eq/yr)</t>
  </si>
  <si>
    <t>Avoided TopDown_All Emissions_Total (Mg CO2eq/yr)</t>
  </si>
  <si>
    <t>Corn for grain</t>
  </si>
  <si>
    <t>Crop production (thousands of bushels)</t>
  </si>
  <si>
    <t>Crop production (metric tons)</t>
  </si>
  <si>
    <t>Soybean</t>
  </si>
  <si>
    <t>Soybeans</t>
  </si>
  <si>
    <t>Metric tons per bushel</t>
  </si>
  <si>
    <t>Residue:Crop Mass Ratio</t>
  </si>
  <si>
    <t>Residue Dry Matter Fraction</t>
  </si>
  <si>
    <t>Fraction Residue Applied</t>
  </si>
  <si>
    <t>Nitrogen Content of Residue</t>
  </si>
  <si>
    <t>N-fixed by crops (kg)</t>
  </si>
  <si>
    <t>N returned to soil (kg)</t>
  </si>
  <si>
    <t>N content of aboveground biomass for N-fixing crop production</t>
  </si>
  <si>
    <t>Residues</t>
  </si>
  <si>
    <t>EF.dir</t>
  </si>
  <si>
    <t>N2O_N2</t>
  </si>
  <si>
    <t>N2OGWP</t>
  </si>
  <si>
    <t>Acres Converted</t>
  </si>
  <si>
    <t>Yield Rate (bu per acre)</t>
  </si>
  <si>
    <t>Corn grain</t>
  </si>
  <si>
    <t>Avoided direct N20 emissions (MT N20)</t>
  </si>
  <si>
    <t>Avoided Direct emissions (MMTCO2e)</t>
  </si>
  <si>
    <t>Avoided Residue</t>
  </si>
  <si>
    <t>Transition to grazing</t>
  </si>
  <si>
    <t>Biochar Amendment</t>
  </si>
  <si>
    <t>Confined Land Use (ha)</t>
  </si>
  <si>
    <t>Jackson 2024 Table 3</t>
  </si>
  <si>
    <t xml:space="preserve">Confined Milk Yield (kg per ha per yr) </t>
  </si>
  <si>
    <t>Confined Milk Production (kg/yr)</t>
  </si>
  <si>
    <t>Confined milk yield (kg milk per cow per year)</t>
  </si>
  <si>
    <t>Total confined milk cows (head)</t>
  </si>
  <si>
    <t>Grass Milk Yield (kg per ha per yr)</t>
  </si>
  <si>
    <t>Grass milk production (kg/yr)</t>
  </si>
  <si>
    <t>Grassfed milk yield (kg milk per cow per year)</t>
  </si>
  <si>
    <t>Total grassfed milk cows (head)</t>
  </si>
  <si>
    <t>Current Row Crops (ha)</t>
  </si>
  <si>
    <t>Jackson 2024 Table 2</t>
  </si>
  <si>
    <t>Confined milk production to FPCM (ratio)</t>
  </si>
  <si>
    <t>Ranathunga &amp; Wattiaux 2017 Table 4</t>
  </si>
  <si>
    <t>Grassfed milk production to FPCM (ratio)</t>
  </si>
  <si>
    <t>Confined Carbon Intensity (CO2eq per kg FPCM)</t>
  </si>
  <si>
    <t>Rotz et al. 2020 Table 7</t>
  </si>
  <si>
    <t>Grassfed Carbon Intensity (CO2eq per kg FPCM)</t>
  </si>
  <si>
    <t>Confined Carbon Emissions (MMT CO2eq per yr)</t>
  </si>
  <si>
    <t>Grassfed Carbon Emissions only on current land (MMT CO2eq per yr)</t>
  </si>
  <si>
    <t>Allocation to Ag Module</t>
  </si>
  <si>
    <t>Lower soil carbon sequestration rate (Mg CO2 eq per ha per yr)</t>
  </si>
  <si>
    <t>Upper soil carbon sequestration rate (Mg CO2 eq per ha per yr)</t>
  </si>
  <si>
    <t>Upper soil carbon sequestration (MMT CO2 eq per yr)</t>
  </si>
  <si>
    <t>SCENARIO 2: Keep Herd Size Constant</t>
  </si>
  <si>
    <t>Current Herd Size (milk cows)</t>
  </si>
  <si>
    <t>Grassfed milk production by current herd size (kg/yr)</t>
  </si>
  <si>
    <t>Land area needed (ha)</t>
  </si>
  <si>
    <t>Current non-feed corn and soy needed</t>
  </si>
  <si>
    <t>Grassfed Carbon Emissions (MMT CO2eq per yr)</t>
  </si>
  <si>
    <t>Reduction in Ag Module (MMT CO2 eq per yr)</t>
  </si>
  <si>
    <t>Milk production shifted to grassfed (kg per year)</t>
  </si>
  <si>
    <t>Land needed (ha)</t>
  </si>
  <si>
    <t>Milk cows needed  (head)</t>
  </si>
  <si>
    <t>Total land currently used for dairy that can be used (ha)</t>
  </si>
  <si>
    <t>Row crop currently used for dairy  converted to pasture (ha)</t>
  </si>
  <si>
    <t>Total Scenario Milk GHG Emissions</t>
  </si>
  <si>
    <t>Upper soil carbon sequestration (MMT CO2eq per yr)</t>
  </si>
  <si>
    <t>Corn to grassland/pasture</t>
  </si>
  <si>
    <t>Soybean to grassland/pasture</t>
  </si>
  <si>
    <t>Estimated avoided N fertilizer use from non-feed corn/soy (Mg)</t>
  </si>
  <si>
    <t>Estimated avoided N fertilizer use from existing land base (Mg)</t>
  </si>
  <si>
    <t>Corn currently used for dairy converted (ha)</t>
  </si>
  <si>
    <t>Soybean currently used for dairy converted (ha)</t>
  </si>
  <si>
    <t>Current corn (ha)</t>
  </si>
  <si>
    <t>Current soybean (ha)</t>
  </si>
  <si>
    <t>Own estimation</t>
  </si>
  <si>
    <t>Available no-till (acres)</t>
  </si>
  <si>
    <t>Available cover crop (acres)</t>
  </si>
  <si>
    <t>Available corn/soy</t>
  </si>
  <si>
    <t>Available pasture (acres)</t>
  </si>
  <si>
    <t>Cover Crop Adoption (acres)</t>
  </si>
  <si>
    <t>No Till Adoption (acres)</t>
  </si>
  <si>
    <t>Solar Farm Conversion (acres current corn/soy)</t>
  </si>
  <si>
    <t>Pasture conversion (acres current corn/soy)</t>
  </si>
  <si>
    <t>Herbaceous Perennial Adoption  (acres current corn/soy)</t>
  </si>
  <si>
    <t>Silvopasture Adoption (acres of current pastureland)</t>
  </si>
  <si>
    <t>Windbreak Adoption (acres)</t>
  </si>
  <si>
    <t>Riparian Buffer Implementation (acres)</t>
  </si>
  <si>
    <t>Cover Crops (Other)</t>
  </si>
  <si>
    <t>No Till (Other)</t>
  </si>
  <si>
    <t>Silvopasture (Other)</t>
  </si>
  <si>
    <t>Windbreaks (Other)</t>
  </si>
  <si>
    <t>Alley Cropping/Intercropping (Other)</t>
  </si>
  <si>
    <t>Riparian Buffers (Other)</t>
  </si>
  <si>
    <t>Perennials (Other)</t>
  </si>
  <si>
    <t>Pasture/grassland (Other)</t>
  </si>
  <si>
    <t>Nitrogen Nutrient Management (Other)</t>
  </si>
  <si>
    <t>Other User Input</t>
  </si>
  <si>
    <t>Other emissions factor</t>
  </si>
  <si>
    <t>Other user input</t>
  </si>
  <si>
    <t>Average of available meta-analyses (Ledo et al. 1.0; King &amp; Blesh 1.5; Angostini 4.18; Qin et al 4-4.7)</t>
  </si>
  <si>
    <t>Lower Estimate in Modeling (1= Yes)</t>
  </si>
  <si>
    <t>Upper Estimate in Modeling (1= Yes)</t>
  </si>
  <si>
    <t>N Management areas (acres)</t>
  </si>
  <si>
    <t>Scenario Mitigation Potential</t>
  </si>
  <si>
    <t>Total Ag Sector GHG Emissions (MMT)</t>
  </si>
  <si>
    <t>PERCENT OF TOTAL AG SECTOR EMISSIONS</t>
  </si>
  <si>
    <t>Biochar</t>
  </si>
  <si>
    <t>Upper Potential</t>
  </si>
  <si>
    <t>Lower Potential</t>
  </si>
  <si>
    <t>Annual Mitigation (MMT)</t>
  </si>
  <si>
    <t>See Methods in Appendix A</t>
  </si>
  <si>
    <t>Available Acres</t>
  </si>
  <si>
    <t>Input Alternative Scenario (%)</t>
  </si>
  <si>
    <t>Dairy Cows (Calculations follow EPA SIT Ag Module)</t>
  </si>
  <si>
    <t>Note: Calculations Follow EPA SIT Ag Module</t>
  </si>
  <si>
    <t>Milk Cow Population</t>
  </si>
  <si>
    <t>Future Scenario</t>
  </si>
  <si>
    <t>Calculations Following EPA SIT</t>
  </si>
  <si>
    <t>Current Emissions Summary</t>
  </si>
  <si>
    <t>Summary for Chart</t>
  </si>
  <si>
    <t>Volatile Solids Management for Methane Calculations</t>
  </si>
  <si>
    <t>2018 Baseline (Following EPA SIT Calculations)</t>
  </si>
  <si>
    <t>NCS Future Scenario</t>
  </si>
  <si>
    <t>NCS Scenario Summary</t>
  </si>
  <si>
    <t>NCS Scenario Proportion</t>
  </si>
  <si>
    <t>VS Managed_future_ncs</t>
  </si>
  <si>
    <t>Future Scenario (%)</t>
  </si>
  <si>
    <t>Total Reduced Emissions (MMTCO2eq):</t>
  </si>
  <si>
    <t>Lower soil carbon sequestration (MMT CO2 eq per yr)</t>
  </si>
  <si>
    <t>Own estimation (see methods)</t>
  </si>
  <si>
    <t>SCENARIO 1: Limit milk production to milk that can be produced from grassfed cows using only the land currently used for dairy production.</t>
  </si>
  <si>
    <t>See methods</t>
  </si>
  <si>
    <t>What to model</t>
  </si>
  <si>
    <t>0= no transition; 1= Limit production to that which can be produced by grassfed cows on land currently used for confined milk production; 2 = limit milk production to that which can be produced by grassfed cows maintaining current milk cow herd size; 3= hold milk production constatnt but shift a percent of milk production to grassfed production.</t>
  </si>
  <si>
    <t>If modeling a % shift of total milk production to grassfed, enter percent shift</t>
  </si>
  <si>
    <t>SCENARIO 3: Shift a percent of total milk production to grassfed</t>
  </si>
  <si>
    <t>Numbers to be returned to the rest of the model</t>
  </si>
  <si>
    <t>Lower soil carbon sequestration (MMT CO2eq per yr)</t>
  </si>
  <si>
    <t xml:space="preserve">GRASSFED TRANSITION INPUTS </t>
  </si>
  <si>
    <t>Current N fertilizer application (Mg/year)</t>
  </si>
  <si>
    <t>Current N Fertilizer Application (Mg/yr)</t>
  </si>
  <si>
    <t>Future N Fertilizer Application (Mg/yr)</t>
  </si>
  <si>
    <t>Future Average N Fertilizer Application (kg/ha/yr)</t>
  </si>
  <si>
    <t>Total CO2eq_N Management (Production + Field Emissions)</t>
  </si>
  <si>
    <t>Grazing optimization (Other)</t>
  </si>
  <si>
    <t>Other N Fertilizer Emissions Factor (Mg CO2eq/yr)</t>
  </si>
  <si>
    <t>Looking up production emission value to use</t>
  </si>
  <si>
    <t>Bellarby et al. 2008 (Lower)</t>
  </si>
  <si>
    <t>Bellarby et al. 2008 (Upper)</t>
  </si>
  <si>
    <t>Other</t>
  </si>
  <si>
    <t>Looking up what emission factor to use</t>
  </si>
  <si>
    <t>Gerber et al. 2016_US avg</t>
  </si>
  <si>
    <t>Gerber et al. 2016_US corn</t>
  </si>
  <si>
    <t>Not Implemented for Scenario Modeling</t>
  </si>
  <si>
    <t>Production Emissions and N2O Emissions Factor to Use (1=Yes)</t>
  </si>
  <si>
    <t>Production Emissions Factor to Use</t>
  </si>
  <si>
    <t>N2O Emissions Factor to Use</t>
  </si>
  <si>
    <t>Calculations to be Used in Scenario Modeling</t>
  </si>
  <si>
    <t>Avoided Future N Fertilizer Application Due to N Fertilizer Management (Mg/yr)</t>
  </si>
  <si>
    <t>Avoided Future N Fertilizer Application Due to Crop Change (Mg/yr)</t>
  </si>
  <si>
    <t>Avoided TopDown_All Emissions_N management (Mg CO2eq/yr)</t>
  </si>
  <si>
    <t>Avoided_TopDown_All Emissions_N management (Mg CO2eq/yr)</t>
  </si>
  <si>
    <t>Avoided_TopDown_All Emissions_CropChange (Mg CO2eq/yr)</t>
  </si>
  <si>
    <t>Avoided_TopDown_All Emissions_Total (Mg CO2eq/yr)</t>
  </si>
  <si>
    <t>Calculating Avoided N Fertilizer Use From Corn/Soy Conversion</t>
  </si>
  <si>
    <t xml:space="preserve"> (See Methods)</t>
  </si>
  <si>
    <t>(See Methods)</t>
  </si>
  <si>
    <t>Proportion of corn/soy conversion assigned to corn</t>
  </si>
  <si>
    <t>Proportion of corn/soy conversion assigned to soy</t>
  </si>
  <si>
    <t>Current Non-feed corn/soy needed (ha)</t>
  </si>
  <si>
    <t>Constants/Variables From SIT</t>
  </si>
  <si>
    <t>Other Variables Needed</t>
  </si>
  <si>
    <t>Calculations (Following SIT)</t>
  </si>
  <si>
    <t>N returned to soil</t>
  </si>
  <si>
    <t>N fixed by crops</t>
  </si>
  <si>
    <t>Alley Cropping</t>
  </si>
  <si>
    <t>Every Day Life Equivalency (Lower Estimate)</t>
  </si>
  <si>
    <t>Every Day Life Equivalency (Upper Estimate)</t>
  </si>
  <si>
    <t>Scenario</t>
  </si>
  <si>
    <t>Percent of Total Ag Sector Emissions</t>
  </si>
  <si>
    <t>INPUT SCENARIO ADOPTION HERE</t>
  </si>
  <si>
    <t>ENTER TOTAL AGRICULTURAL SECTOR EMISSIONS</t>
  </si>
  <si>
    <t>Helpful Data</t>
  </si>
  <si>
    <t>N fertilizer application (Total Mg)</t>
  </si>
  <si>
    <t>WARNINGS</t>
  </si>
  <si>
    <t>Manure Management Current Check</t>
  </si>
  <si>
    <t>Manure Management Future Check</t>
  </si>
  <si>
    <t>Grassfed Transition and Manure Management Check</t>
  </si>
  <si>
    <t>Grassfed Transition and Enteric Emissions  Check</t>
  </si>
  <si>
    <t>Inputs</t>
  </si>
  <si>
    <t>This is the main tab where users set up their NCS scenarios. The important inputs are as follows:</t>
  </si>
  <si>
    <t>Cell B2: Enter the total agricultural sector greenhouse gas emissions in million metric tons per year</t>
  </si>
  <si>
    <t>Alley Crop Adoption (acres of corn/soy)</t>
  </si>
  <si>
    <t>Cells B7-B19: Enter the adoption of field-based NCS practices. Available acres for Wisconsin are provided in cells D7-D19</t>
  </si>
  <si>
    <t>Input Reduced Animal Number Scenario</t>
  </si>
  <si>
    <t>Cells B24 and C24: Enter the number of milk cows currently in the area being modeled (B24) and in the scenario being modeled (C24)</t>
  </si>
  <si>
    <t>Cells B26-B33 and C26-C33: Enter the proportion of milk cow manure handled by different management practices currently (B26-B33) and in the scenario being modeled (C26-C33). These should both sum to 100%.</t>
  </si>
  <si>
    <t>Cells D37-D100:  For each NCS practice enter a "1" for the mitigation potential rate you want to use as an upper bound in your scenario. Leave all other cells blank. Note: if using an "Other" value, enter the value in column B.</t>
  </si>
  <si>
    <t>Cells C37-C100:  For each NCS practice enter a "1" for the mitigation potential rate you want to use as a lower bound in your scenario. Leave all other cells blank. Note: if using an "Other" value, enter the value in column B.</t>
  </si>
  <si>
    <t>Cells C103-C107:  Enter a "1" for the GHG emissions rate for N fertilizer production you want to use as a lower bound in your scenario. Leave all other cells blank. Note: if using an "Other" value, enter the value in column B.</t>
  </si>
  <si>
    <t>Cells C108-C122:  Enter a "1" for the GHG emissions rate for the N2O emissions factor for field-applied nitrogen fertilizer you want to use in your scenario. Leave all other cells blank. Note: if using an "Other" value, enter the value in column B.</t>
  </si>
  <si>
    <t>Cells B125 and C125: Enter the lower (B125) and upper (C125) biochar soil amendment potential you want to include. See the Metholodology for how the upper and lower amount were calculated for Wisconsin.</t>
  </si>
  <si>
    <t>Cells B128-B142: Enter assumptions to use in modeling a transition from confined dairy production to grassfed dairy production. See the Methodology for how this was calculated in Wisconsin.</t>
  </si>
  <si>
    <t>Cell B144: Enter what, if any transition from confined to grassfed dairy production you want to model. This tool allows 4 options: 0= no transition; 1= Limit production to that which can be produced by grassfed cows on land currently used for confined milk production; 2 = limit milk production to that which can be produced by grassfed cows maintaining current milk cow herd size; 3= hold milk production constatnt but shift a percent of milk production to grassfed production.</t>
  </si>
  <si>
    <t xml:space="preserve">Cell B145: If modeling shifting a certain percent of dairy milk production to grassfed production, enter the percentage you want to shift to grassfed here. </t>
  </si>
  <si>
    <t>NOTE: This version of the tool does not support modeling both a transition to grassfed production AND improved manure management practices or avoided enteric emissions from reduced dairy cow numbers.</t>
  </si>
  <si>
    <t>Results</t>
  </si>
  <si>
    <t xml:space="preserve">This tab shows any warnings from the current scenario (e.g., manure management not summing to 100% or attempting to model both transition to grassfed dairy production and improved manure management) and the mitigation potential of the scenario. </t>
  </si>
  <si>
    <t>EPA GHG Calculator Equivalents</t>
  </si>
  <si>
    <t>This tab converts the GHG mitigation potential of the NCS scenario into commonly-understood equivalents (e.g., equivalent cars removed from roadways)</t>
  </si>
  <si>
    <t>Scenario Potential Calculations</t>
  </si>
  <si>
    <t>This tab calculates the mitigation potential of the inputted scenario</t>
  </si>
  <si>
    <t>GrassfedTransition</t>
  </si>
  <si>
    <t>This tab calculates the mitigation potential of the inputted scenario for transition to grassfed milk production to feed to the Scenario Potential Calculations tab.</t>
  </si>
  <si>
    <t>N Management Calcs</t>
  </si>
  <si>
    <t>This tab calculates the mitigation potential of the inputted scenario for transition for nitrogen fertilizer management to feed to the Scenario Potential Calculations tab.</t>
  </si>
  <si>
    <t>This tab calculates avoided residue emissions from corn and soybeans under the inputted scenario, following the calculations of the EPA State Inventory Tool</t>
  </si>
  <si>
    <t>Manure Management Calcs</t>
  </si>
  <si>
    <t>This tab calculates avoided manure management emissions under the inputted scenario, following the calculations of the EPA State Inventory Tool</t>
  </si>
  <si>
    <t>Enteric Emissions</t>
  </si>
  <si>
    <t>This tab calculates the avoided enteric emissions from reduced animal numbers in the inputted scenario, following the calculations of the EPA State Inventory Tool</t>
  </si>
  <si>
    <r>
      <rPr>
        <b/>
        <u/>
        <sz val="11"/>
        <rFont val="Calibri"/>
        <family val="2"/>
        <scheme val="minor"/>
      </rPr>
      <t>OVERVIEW</t>
    </r>
    <r>
      <rPr>
        <sz val="11"/>
        <rFont val="Calibri"/>
        <family val="2"/>
        <scheme val="minor"/>
      </rPr>
      <t xml:space="preserve"> We have developed a spreadsheet tool that incorporates estimates of carbon sequestration from various agricultural land management practices and allows users to enter scenarios of practice adoption and obtain estimates of total climate benefit. The tool contains a compilation of carbon sequestration estimates from meta-analyses and literature reviews and county-level estimates from the COMET-Planner model. Users input acreage of practice adoption and the tool calculates total carbon sequestration or avoided emissions for the area of interest. It also provides tabular and graphical representations of the reductions and progress towards a specified goal (e.g., zero-carbon agriculture) as well as functional equivalents for public communications (e.g., equivalent cars removed from roads).  </t>
    </r>
  </si>
  <si>
    <t>EPA State Inventory Tool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</si>
</sst>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_(* #,##0_);_(* \(#,##0\);_(* &quot;-&quot;??_);_(@_)"/>
    <numFmt numFmtId="165" formatCode="0.0%"/>
    <numFmt numFmtId="166" formatCode="#,##0.000"/>
    <numFmt numFmtId="167" formatCode="#,##0.0000"/>
    <numFmt numFmtId="168" formatCode="0.0"/>
    <numFmt numFmtId="169" formatCode="0.00000"/>
    <numFmt numFmtId="170" formatCode="0.0000000"/>
    <numFmt numFmtId="171" formatCode="0.000"/>
  </numFmts>
  <fonts count="18" x14ac:knownFonts="1">
    <font>
      <sz val="11"/>
      <color theme="1"/>
      <name val="Calibri"/>
      <family val="2"/>
      <scheme val="minor"/>
    </font>
    <font>
      <b/>
      <sz val="11"/>
      <color theme="1"/>
      <name val="Calibri"/>
      <family val="2"/>
      <scheme val="minor"/>
    </font>
    <font>
      <sz val="8"/>
      <name val="Calibri"/>
      <family val="2"/>
      <scheme val="minor"/>
    </font>
    <font>
      <sz val="11"/>
      <color theme="1"/>
      <name val="Calibri"/>
      <family val="2"/>
      <scheme val="minor"/>
    </font>
    <font>
      <b/>
      <sz val="11"/>
      <color rgb="FFFF0000"/>
      <name val="Calibri"/>
      <family val="2"/>
      <scheme val="minor"/>
    </font>
    <font>
      <b/>
      <sz val="14"/>
      <color theme="1"/>
      <name val="Calibri"/>
      <family val="2"/>
      <scheme val="minor"/>
    </font>
    <font>
      <sz val="14"/>
      <color theme="1"/>
      <name val="Calibri"/>
      <family val="2"/>
      <scheme val="minor"/>
    </font>
    <font>
      <b/>
      <sz val="8"/>
      <name val="Arial"/>
      <family val="2"/>
    </font>
    <font>
      <sz val="8"/>
      <name val="Arial"/>
      <family val="2"/>
    </font>
    <font>
      <sz val="11"/>
      <name val="Calibri"/>
      <family val="2"/>
      <scheme val="minor"/>
    </font>
    <font>
      <sz val="10"/>
      <color indexed="8"/>
      <name val="Arial"/>
      <family val="2"/>
    </font>
    <font>
      <i/>
      <sz val="11"/>
      <color theme="1"/>
      <name val="Calibri"/>
      <family val="2"/>
      <scheme val="minor"/>
    </font>
    <font>
      <b/>
      <sz val="11"/>
      <name val="Calibri"/>
      <family val="2"/>
    </font>
    <font>
      <i/>
      <sz val="11"/>
      <color rgb="FFFF0000"/>
      <name val="Calibri"/>
      <family val="2"/>
      <scheme val="minor"/>
    </font>
    <font>
      <sz val="11"/>
      <color rgb="FFFF0000"/>
      <name val="Calibri"/>
      <family val="2"/>
      <scheme val="minor"/>
    </font>
    <font>
      <sz val="12"/>
      <name val="Times New Roman"/>
      <family val="1"/>
    </font>
    <font>
      <b/>
      <u/>
      <sz val="11"/>
      <color theme="1"/>
      <name val="Calibri"/>
      <family val="2"/>
      <scheme val="minor"/>
    </font>
    <font>
      <b/>
      <u/>
      <sz val="11"/>
      <name val="Calibri"/>
      <family val="2"/>
      <scheme val="minor"/>
    </font>
  </fonts>
  <fills count="14">
    <fill>
      <patternFill patternType="none"/>
    </fill>
    <fill>
      <patternFill patternType="gray125"/>
    </fill>
    <fill>
      <patternFill patternType="solid">
        <fgColor theme="5" tint="0.59999389629810485"/>
        <bgColor indexed="64"/>
      </patternFill>
    </fill>
    <fill>
      <patternFill patternType="solid">
        <fgColor theme="8" tint="0.59999389629810485"/>
        <bgColor indexed="64"/>
      </patternFill>
    </fill>
    <fill>
      <patternFill patternType="solid">
        <fgColor rgb="FFF2FB9D"/>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4" tint="0.79998168889431442"/>
        <bgColor indexed="64"/>
      </patternFill>
    </fill>
  </fills>
  <borders count="36">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s>
  <cellStyleXfs count="4">
    <xf numFmtId="0" fontId="0" fillId="0" borderId="0"/>
    <xf numFmtId="43" fontId="3" fillId="0" borderId="0" applyFont="0" applyFill="0" applyBorder="0" applyAlignment="0" applyProtection="0"/>
    <xf numFmtId="9" fontId="3" fillId="0" borderId="0" applyFont="0" applyFill="0" applyBorder="0" applyAlignment="0" applyProtection="0"/>
    <xf numFmtId="0" fontId="10" fillId="0" borderId="0"/>
  </cellStyleXfs>
  <cellXfs count="222">
    <xf numFmtId="0" fontId="0" fillId="0" borderId="0" xfId="0"/>
    <xf numFmtId="1" fontId="0" fillId="0" borderId="0" xfId="0" applyNumberFormat="1"/>
    <xf numFmtId="0" fontId="1" fillId="0" borderId="0" xfId="0" applyFont="1"/>
    <xf numFmtId="164" fontId="0" fillId="0" borderId="0" xfId="0" applyNumberFormat="1"/>
    <xf numFmtId="43" fontId="0" fillId="0" borderId="0" xfId="1" applyFont="1"/>
    <xf numFmtId="0" fontId="0" fillId="2" borderId="2" xfId="0" applyFill="1" applyBorder="1"/>
    <xf numFmtId="0" fontId="0" fillId="2" borderId="6" xfId="0" applyFill="1" applyBorder="1"/>
    <xf numFmtId="0" fontId="0" fillId="3" borderId="3" xfId="0" applyFill="1" applyBorder="1"/>
    <xf numFmtId="0" fontId="0" fillId="3" borderId="0" xfId="0" applyFill="1"/>
    <xf numFmtId="0" fontId="0" fillId="3" borderId="4" xfId="0" applyFill="1" applyBorder="1"/>
    <xf numFmtId="0" fontId="1" fillId="4" borderId="1" xfId="0" applyFont="1" applyFill="1" applyBorder="1"/>
    <xf numFmtId="0" fontId="1" fillId="4" borderId="7" xfId="0" applyFont="1" applyFill="1" applyBorder="1"/>
    <xf numFmtId="0" fontId="1" fillId="4" borderId="2" xfId="0" applyFont="1" applyFill="1" applyBorder="1"/>
    <xf numFmtId="0" fontId="0" fillId="4" borderId="3" xfId="0" applyFill="1" applyBorder="1"/>
    <xf numFmtId="0" fontId="0" fillId="4" borderId="4" xfId="0" applyFill="1" applyBorder="1"/>
    <xf numFmtId="0" fontId="0" fillId="4" borderId="5" xfId="0" applyFill="1" applyBorder="1"/>
    <xf numFmtId="0" fontId="0" fillId="4" borderId="8" xfId="0" applyFill="1" applyBorder="1"/>
    <xf numFmtId="0" fontId="0" fillId="5" borderId="0" xfId="0" applyFill="1"/>
    <xf numFmtId="0" fontId="0" fillId="0" borderId="7"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8" xfId="0" applyBorder="1"/>
    <xf numFmtId="1" fontId="0" fillId="0" borderId="8" xfId="0" applyNumberFormat="1" applyBorder="1"/>
    <xf numFmtId="0" fontId="0" fillId="0" borderId="6" xfId="0" applyBorder="1"/>
    <xf numFmtId="1" fontId="0" fillId="0" borderId="7" xfId="0" applyNumberFormat="1" applyBorder="1"/>
    <xf numFmtId="0" fontId="1" fillId="0" borderId="1" xfId="0" applyFont="1" applyBorder="1"/>
    <xf numFmtId="0" fontId="1" fillId="0" borderId="3" xfId="0" applyFont="1" applyBorder="1"/>
    <xf numFmtId="0" fontId="1" fillId="0" borderId="4" xfId="0" applyFont="1" applyBorder="1"/>
    <xf numFmtId="0" fontId="1" fillId="0" borderId="7" xfId="0" applyFont="1" applyBorder="1"/>
    <xf numFmtId="0" fontId="1" fillId="0" borderId="2" xfId="0" applyFont="1" applyBorder="1"/>
    <xf numFmtId="0" fontId="1" fillId="0" borderId="5" xfId="0" applyFont="1" applyBorder="1"/>
    <xf numFmtId="9" fontId="0" fillId="0" borderId="4" xfId="2" applyFont="1" applyBorder="1"/>
    <xf numFmtId="0" fontId="1" fillId="3" borderId="0" xfId="0" applyFont="1" applyFill="1"/>
    <xf numFmtId="9" fontId="0" fillId="0" borderId="0" xfId="0" applyNumberFormat="1"/>
    <xf numFmtId="9" fontId="0" fillId="0" borderId="4" xfId="0" applyNumberFormat="1" applyBorder="1"/>
    <xf numFmtId="9" fontId="0" fillId="0" borderId="4" xfId="2" quotePrefix="1" applyFont="1" applyBorder="1"/>
    <xf numFmtId="0" fontId="0" fillId="6" borderId="3" xfId="0" applyFill="1" applyBorder="1"/>
    <xf numFmtId="0" fontId="0" fillId="6" borderId="5" xfId="0" applyFill="1" applyBorder="1"/>
    <xf numFmtId="0" fontId="0" fillId="2" borderId="0" xfId="0" applyFill="1"/>
    <xf numFmtId="0" fontId="0" fillId="2" borderId="8" xfId="0" applyFill="1" applyBorder="1"/>
    <xf numFmtId="0" fontId="1" fillId="2" borderId="7" xfId="0" applyFont="1" applyFill="1" applyBorder="1"/>
    <xf numFmtId="0" fontId="1" fillId="6" borderId="1" xfId="0" applyFont="1" applyFill="1" applyBorder="1"/>
    <xf numFmtId="0" fontId="0" fillId="6" borderId="9" xfId="0" applyFill="1" applyBorder="1"/>
    <xf numFmtId="0" fontId="4" fillId="6" borderId="10" xfId="0" applyFont="1" applyFill="1" applyBorder="1"/>
    <xf numFmtId="0" fontId="0" fillId="6" borderId="10" xfId="0" applyFill="1" applyBorder="1" applyAlignment="1">
      <alignment horizontal="center"/>
    </xf>
    <xf numFmtId="0" fontId="0" fillId="6" borderId="11" xfId="0" applyFill="1" applyBorder="1" applyAlignment="1">
      <alignment horizontal="center"/>
    </xf>
    <xf numFmtId="9" fontId="8" fillId="0" borderId="0" xfId="2" applyFont="1" applyBorder="1" applyAlignment="1">
      <alignment horizontal="center"/>
    </xf>
    <xf numFmtId="165" fontId="9" fillId="0" borderId="0" xfId="0" applyNumberFormat="1" applyFont="1"/>
    <xf numFmtId="2" fontId="9" fillId="0" borderId="0" xfId="0" applyNumberFormat="1" applyFont="1"/>
    <xf numFmtId="2" fontId="0" fillId="0" borderId="0" xfId="0" applyNumberFormat="1"/>
    <xf numFmtId="0" fontId="0" fillId="7" borderId="0" xfId="0" applyFill="1"/>
    <xf numFmtId="0" fontId="0" fillId="8" borderId="0" xfId="0" applyFill="1"/>
    <xf numFmtId="0" fontId="0" fillId="9" borderId="0" xfId="0" applyFill="1"/>
    <xf numFmtId="1" fontId="0" fillId="9" borderId="0" xfId="0" applyNumberFormat="1" applyFill="1"/>
    <xf numFmtId="3" fontId="10" fillId="0" borderId="12" xfId="3" applyNumberFormat="1" applyBorder="1"/>
    <xf numFmtId="3" fontId="10" fillId="0" borderId="0" xfId="3" applyNumberFormat="1" applyAlignment="1">
      <alignment horizontal="right"/>
    </xf>
    <xf numFmtId="166" fontId="10" fillId="0" borderId="0" xfId="3" applyNumberFormat="1" applyAlignment="1">
      <alignment horizontal="right"/>
    </xf>
    <xf numFmtId="4" fontId="10" fillId="0" borderId="0" xfId="3" applyNumberFormat="1" applyAlignment="1">
      <alignment horizontal="right"/>
    </xf>
    <xf numFmtId="167" fontId="10" fillId="0" borderId="12" xfId="3" applyNumberFormat="1" applyBorder="1"/>
    <xf numFmtId="3" fontId="0" fillId="0" borderId="0" xfId="0" applyNumberFormat="1"/>
    <xf numFmtId="2" fontId="0" fillId="0" borderId="4" xfId="0" applyNumberFormat="1" applyBorder="1"/>
    <xf numFmtId="0" fontId="0" fillId="0" borderId="13" xfId="0" applyBorder="1"/>
    <xf numFmtId="1" fontId="0" fillId="0" borderId="13" xfId="0" applyNumberFormat="1" applyBorder="1"/>
    <xf numFmtId="169" fontId="0" fillId="0" borderId="4" xfId="0" applyNumberFormat="1" applyBorder="1"/>
    <xf numFmtId="170" fontId="0" fillId="0" borderId="4" xfId="0" applyNumberFormat="1" applyBorder="1"/>
    <xf numFmtId="43" fontId="0" fillId="0" borderId="0" xfId="0" applyNumberFormat="1"/>
    <xf numFmtId="168" fontId="0" fillId="0" borderId="0" xfId="0" applyNumberFormat="1"/>
    <xf numFmtId="1" fontId="0" fillId="6" borderId="10" xfId="0" applyNumberFormat="1" applyFill="1" applyBorder="1" applyAlignment="1">
      <alignment horizontal="center"/>
    </xf>
    <xf numFmtId="0" fontId="0" fillId="0" borderId="16" xfId="0" applyBorder="1"/>
    <xf numFmtId="0" fontId="0" fillId="3" borderId="16" xfId="0" applyFill="1" applyBorder="1"/>
    <xf numFmtId="0" fontId="0" fillId="3" borderId="13" xfId="0" applyFill="1" applyBorder="1"/>
    <xf numFmtId="0" fontId="0" fillId="3" borderId="21" xfId="0" applyFill="1" applyBorder="1"/>
    <xf numFmtId="1" fontId="0" fillId="10" borderId="0" xfId="0" applyNumberFormat="1" applyFill="1"/>
    <xf numFmtId="0" fontId="1" fillId="0" borderId="16" xfId="0" applyFont="1" applyBorder="1"/>
    <xf numFmtId="0" fontId="1" fillId="0" borderId="21" xfId="0" applyFont="1" applyBorder="1"/>
    <xf numFmtId="9" fontId="1" fillId="0" borderId="6" xfId="2" applyFont="1" applyBorder="1"/>
    <xf numFmtId="0" fontId="0" fillId="11" borderId="2" xfId="0" applyFill="1" applyBorder="1"/>
    <xf numFmtId="0" fontId="0" fillId="11" borderId="5" xfId="0" applyFill="1" applyBorder="1"/>
    <xf numFmtId="0" fontId="0" fillId="11" borderId="6" xfId="0" applyFill="1" applyBorder="1"/>
    <xf numFmtId="0" fontId="0" fillId="10" borderId="0" xfId="0" applyFill="1"/>
    <xf numFmtId="0" fontId="0" fillId="10" borderId="0" xfId="0" applyFill="1" applyAlignment="1">
      <alignment horizontal="center"/>
    </xf>
    <xf numFmtId="164" fontId="0" fillId="2" borderId="4" xfId="1" applyNumberFormat="1" applyFont="1" applyFill="1" applyBorder="1"/>
    <xf numFmtId="0" fontId="0" fillId="2" borderId="14" xfId="0" applyFill="1" applyBorder="1"/>
    <xf numFmtId="0" fontId="0" fillId="2" borderId="3" xfId="0" applyFill="1" applyBorder="1"/>
    <xf numFmtId="0" fontId="0" fillId="2" borderId="5" xfId="0" applyFill="1" applyBorder="1"/>
    <xf numFmtId="168" fontId="0" fillId="2" borderId="4" xfId="0" applyNumberFormat="1" applyFill="1" applyBorder="1"/>
    <xf numFmtId="168" fontId="0" fillId="2" borderId="6" xfId="0" applyNumberFormat="1" applyFill="1" applyBorder="1"/>
    <xf numFmtId="9" fontId="7" fillId="0" borderId="14" xfId="2" applyFont="1" applyBorder="1" applyAlignment="1">
      <alignment horizontal="left" wrapText="1"/>
    </xf>
    <xf numFmtId="9" fontId="7" fillId="0" borderId="15" xfId="2" applyFont="1" applyBorder="1" applyAlignment="1">
      <alignment horizontal="center" wrapText="1"/>
    </xf>
    <xf numFmtId="9" fontId="7" fillId="0" borderId="22" xfId="2" applyFont="1" applyBorder="1" applyAlignment="1">
      <alignment horizontal="center" wrapText="1"/>
    </xf>
    <xf numFmtId="0" fontId="8" fillId="0" borderId="5" xfId="0" applyFont="1" applyBorder="1" applyAlignment="1">
      <alignment vertical="top" wrapText="1"/>
    </xf>
    <xf numFmtId="9" fontId="8" fillId="0" borderId="8" xfId="2" applyFont="1" applyBorder="1" applyAlignment="1">
      <alignment horizontal="center"/>
    </xf>
    <xf numFmtId="9" fontId="8" fillId="0" borderId="6" xfId="2" applyFont="1" applyBorder="1" applyAlignment="1">
      <alignment horizontal="center"/>
    </xf>
    <xf numFmtId="0" fontId="11" fillId="0" borderId="0" xfId="0" applyFont="1"/>
    <xf numFmtId="0" fontId="8" fillId="0" borderId="0" xfId="0" applyFont="1" applyAlignment="1">
      <alignment vertical="top" wrapText="1"/>
    </xf>
    <xf numFmtId="0" fontId="1" fillId="12" borderId="1" xfId="0" applyFont="1" applyFill="1" applyBorder="1"/>
    <xf numFmtId="0" fontId="0" fillId="12" borderId="2" xfId="0" applyFill="1" applyBorder="1"/>
    <xf numFmtId="0" fontId="0" fillId="12" borderId="3" xfId="0" applyFill="1" applyBorder="1"/>
    <xf numFmtId="0" fontId="0" fillId="12" borderId="4" xfId="0" applyFill="1" applyBorder="1"/>
    <xf numFmtId="0" fontId="0" fillId="12" borderId="5" xfId="0" applyFill="1" applyBorder="1"/>
    <xf numFmtId="0" fontId="0" fillId="12" borderId="6" xfId="0" applyFill="1" applyBorder="1"/>
    <xf numFmtId="0" fontId="0" fillId="12" borderId="7" xfId="0" applyFill="1" applyBorder="1"/>
    <xf numFmtId="0" fontId="0" fillId="12" borderId="0" xfId="0" applyFill="1"/>
    <xf numFmtId="0" fontId="0" fillId="12" borderId="8" xfId="0" applyFill="1" applyBorder="1"/>
    <xf numFmtId="165" fontId="8" fillId="0" borderId="0" xfId="0" applyNumberFormat="1" applyFont="1"/>
    <xf numFmtId="10" fontId="0" fillId="0" borderId="8" xfId="0" applyNumberFormat="1" applyBorder="1"/>
    <xf numFmtId="10" fontId="0" fillId="0" borderId="6" xfId="0" applyNumberFormat="1" applyBorder="1"/>
    <xf numFmtId="10" fontId="0" fillId="0" borderId="0" xfId="0" applyNumberFormat="1"/>
    <xf numFmtId="9" fontId="7" fillId="0" borderId="15" xfId="2" applyFont="1" applyFill="1" applyBorder="1" applyAlignment="1">
      <alignment horizontal="center" wrapText="1"/>
    </xf>
    <xf numFmtId="9" fontId="7" fillId="0" borderId="22" xfId="2" applyFont="1" applyFill="1" applyBorder="1" applyAlignment="1">
      <alignment horizontal="center" wrapText="1"/>
    </xf>
    <xf numFmtId="9" fontId="12" fillId="12" borderId="1" xfId="2" applyFont="1" applyFill="1" applyBorder="1" applyAlignment="1">
      <alignment horizontal="left"/>
    </xf>
    <xf numFmtId="9" fontId="8" fillId="12" borderId="2" xfId="2" applyFont="1" applyFill="1" applyBorder="1" applyAlignment="1">
      <alignment horizontal="center"/>
    </xf>
    <xf numFmtId="0" fontId="0" fillId="12" borderId="1" xfId="0" applyFill="1" applyBorder="1"/>
    <xf numFmtId="0" fontId="5" fillId="0" borderId="23" xfId="0" applyFont="1" applyBorder="1"/>
    <xf numFmtId="0" fontId="6" fillId="0" borderId="24" xfId="0" applyFont="1" applyBorder="1"/>
    <xf numFmtId="0" fontId="0" fillId="0" borderId="24" xfId="0" applyBorder="1"/>
    <xf numFmtId="2" fontId="5" fillId="0" borderId="25" xfId="0" applyNumberFormat="1" applyFont="1" applyBorder="1"/>
    <xf numFmtId="0" fontId="13" fillId="12" borderId="3" xfId="0" applyFont="1" applyFill="1" applyBorder="1"/>
    <xf numFmtId="0" fontId="13" fillId="12" borderId="4" xfId="0" applyFont="1" applyFill="1" applyBorder="1"/>
    <xf numFmtId="2" fontId="0" fillId="0" borderId="6" xfId="0" applyNumberFormat="1" applyBorder="1"/>
    <xf numFmtId="0" fontId="1" fillId="0" borderId="14" xfId="0" applyFont="1" applyBorder="1"/>
    <xf numFmtId="0" fontId="0" fillId="0" borderId="22" xfId="0" applyBorder="1"/>
    <xf numFmtId="0" fontId="1" fillId="12" borderId="14" xfId="0" applyFont="1" applyFill="1" applyBorder="1"/>
    <xf numFmtId="0" fontId="0" fillId="12" borderId="22" xfId="0" applyFill="1" applyBorder="1"/>
    <xf numFmtId="2" fontId="0" fillId="12" borderId="4" xfId="0" applyNumberFormat="1" applyFill="1" applyBorder="1"/>
    <xf numFmtId="2" fontId="0" fillId="12" borderId="6" xfId="0" applyNumberFormat="1" applyFill="1" applyBorder="1"/>
    <xf numFmtId="2" fontId="0" fillId="0" borderId="4" xfId="1" applyNumberFormat="1" applyFont="1" applyBorder="1"/>
    <xf numFmtId="0" fontId="0" fillId="0" borderId="14" xfId="0" applyBorder="1"/>
    <xf numFmtId="2" fontId="0" fillId="0" borderId="22" xfId="0" applyNumberFormat="1" applyBorder="1"/>
    <xf numFmtId="0" fontId="0" fillId="0" borderId="15" xfId="0" applyBorder="1"/>
    <xf numFmtId="0" fontId="1" fillId="6" borderId="14" xfId="0" applyFont="1" applyFill="1" applyBorder="1"/>
    <xf numFmtId="0" fontId="0" fillId="6" borderId="22" xfId="0" applyFill="1" applyBorder="1"/>
    <xf numFmtId="0" fontId="0" fillId="6" borderId="4" xfId="0" applyFill="1" applyBorder="1"/>
    <xf numFmtId="0" fontId="0" fillId="6" borderId="6" xfId="0" applyFill="1" applyBorder="1"/>
    <xf numFmtId="171" fontId="0" fillId="0" borderId="0" xfId="0" applyNumberFormat="1"/>
    <xf numFmtId="0" fontId="1" fillId="11" borderId="1" xfId="0" applyFont="1" applyFill="1" applyBorder="1"/>
    <xf numFmtId="0" fontId="0" fillId="5" borderId="13" xfId="0" applyFill="1" applyBorder="1"/>
    <xf numFmtId="0" fontId="0" fillId="13" borderId="19" xfId="0" applyFill="1" applyBorder="1"/>
    <xf numFmtId="0" fontId="0" fillId="13" borderId="20" xfId="0" applyFill="1" applyBorder="1"/>
    <xf numFmtId="0" fontId="0" fillId="13" borderId="3" xfId="0" applyFill="1" applyBorder="1"/>
    <xf numFmtId="0" fontId="0" fillId="13" borderId="4" xfId="0" applyFill="1" applyBorder="1"/>
    <xf numFmtId="168" fontId="0" fillId="13" borderId="4" xfId="0" applyNumberFormat="1" applyFill="1" applyBorder="1"/>
    <xf numFmtId="0" fontId="0" fillId="13" borderId="16" xfId="0" applyFill="1" applyBorder="1"/>
    <xf numFmtId="168" fontId="0" fillId="13" borderId="21" xfId="0" applyNumberFormat="1" applyFill="1" applyBorder="1"/>
    <xf numFmtId="0" fontId="0" fillId="12" borderId="19" xfId="0" applyFill="1" applyBorder="1"/>
    <xf numFmtId="0" fontId="0" fillId="12" borderId="20" xfId="0" applyFill="1" applyBorder="1"/>
    <xf numFmtId="0" fontId="0" fillId="12" borderId="16" xfId="0" applyFill="1" applyBorder="1"/>
    <xf numFmtId="0" fontId="0" fillId="12" borderId="21" xfId="0" applyFill="1" applyBorder="1"/>
    <xf numFmtId="0" fontId="0" fillId="0" borderId="1" xfId="0" applyBorder="1"/>
    <xf numFmtId="1" fontId="0" fillId="0" borderId="4" xfId="0" applyNumberFormat="1" applyBorder="1"/>
    <xf numFmtId="1" fontId="0" fillId="0" borderId="6" xfId="0" applyNumberFormat="1" applyBorder="1"/>
    <xf numFmtId="0" fontId="0" fillId="12" borderId="26" xfId="0" applyFill="1" applyBorder="1"/>
    <xf numFmtId="0" fontId="0" fillId="12" borderId="17" xfId="0" applyFill="1" applyBorder="1"/>
    <xf numFmtId="0" fontId="0" fillId="12" borderId="18" xfId="0" applyFill="1" applyBorder="1"/>
    <xf numFmtId="0" fontId="0" fillId="12" borderId="23" xfId="0" applyFill="1" applyBorder="1"/>
    <xf numFmtId="0" fontId="0" fillId="12" borderId="24" xfId="0" applyFill="1" applyBorder="1"/>
    <xf numFmtId="0" fontId="0" fillId="12" borderId="25" xfId="0" applyFill="1" applyBorder="1"/>
    <xf numFmtId="164" fontId="0" fillId="0" borderId="0" xfId="1" applyNumberFormat="1" applyFont="1" applyBorder="1"/>
    <xf numFmtId="164" fontId="1" fillId="0" borderId="4" xfId="0" applyNumberFormat="1" applyFont="1" applyBorder="1"/>
    <xf numFmtId="164" fontId="0" fillId="0" borderId="8" xfId="1" applyNumberFormat="1" applyFont="1" applyBorder="1"/>
    <xf numFmtId="164" fontId="1" fillId="0" borderId="6" xfId="0" applyNumberFormat="1" applyFont="1" applyBorder="1"/>
    <xf numFmtId="0" fontId="1" fillId="0" borderId="22" xfId="0" applyFont="1" applyBorder="1"/>
    <xf numFmtId="9" fontId="0" fillId="0" borderId="6" xfId="0" applyNumberFormat="1" applyBorder="1"/>
    <xf numFmtId="0" fontId="1" fillId="0" borderId="27" xfId="0" applyFont="1" applyBorder="1"/>
    <xf numFmtId="0" fontId="14" fillId="0" borderId="0" xfId="0" applyFont="1"/>
    <xf numFmtId="0" fontId="0" fillId="6" borderId="1" xfId="0" applyFill="1" applyBorder="1"/>
    <xf numFmtId="0" fontId="4" fillId="6" borderId="2" xfId="0" applyFont="1" applyFill="1" applyBorder="1"/>
    <xf numFmtId="0" fontId="1" fillId="6" borderId="5" xfId="0" applyFont="1" applyFill="1" applyBorder="1"/>
    <xf numFmtId="0" fontId="1" fillId="6" borderId="6" xfId="0" applyFont="1" applyFill="1" applyBorder="1"/>
    <xf numFmtId="0" fontId="0" fillId="4" borderId="0" xfId="0" applyFill="1"/>
    <xf numFmtId="0" fontId="0" fillId="6" borderId="2" xfId="0" applyFill="1" applyBorder="1"/>
    <xf numFmtId="0" fontId="1" fillId="6" borderId="4" xfId="0" applyFont="1" applyFill="1" applyBorder="1"/>
    <xf numFmtId="0" fontId="16" fillId="0" borderId="0" xfId="0" applyFont="1"/>
    <xf numFmtId="0" fontId="1" fillId="2" borderId="16" xfId="0" applyFont="1" applyFill="1" applyBorder="1"/>
    <xf numFmtId="0" fontId="9" fillId="0" borderId="0" xfId="0" applyFont="1" applyAlignment="1">
      <alignment horizontal="left" vertical="center" wrapText="1"/>
    </xf>
    <xf numFmtId="0" fontId="15" fillId="0" borderId="0" xfId="0" applyFont="1" applyAlignment="1">
      <alignment horizontal="left" vertical="center" wrapText="1"/>
    </xf>
    <xf numFmtId="0" fontId="0" fillId="0" borderId="0" xfId="0" applyAlignment="1">
      <alignment horizontal="left" wrapText="1"/>
    </xf>
    <xf numFmtId="0" fontId="4" fillId="6" borderId="22" xfId="0" applyFont="1" applyFill="1" applyBorder="1"/>
    <xf numFmtId="1" fontId="0" fillId="6" borderId="4" xfId="0" applyNumberFormat="1" applyFill="1" applyBorder="1" applyAlignment="1">
      <alignment horizontal="center"/>
    </xf>
    <xf numFmtId="0" fontId="4" fillId="6" borderId="21" xfId="0" applyFont="1" applyFill="1" applyBorder="1"/>
    <xf numFmtId="0" fontId="1" fillId="2" borderId="30" xfId="0" applyFont="1" applyFill="1" applyBorder="1"/>
    <xf numFmtId="0" fontId="0" fillId="2" borderId="31" xfId="0" applyFill="1" applyBorder="1" applyAlignment="1">
      <alignment horizontal="center"/>
    </xf>
    <xf numFmtId="0" fontId="1" fillId="2" borderId="32" xfId="0" applyFont="1" applyFill="1" applyBorder="1"/>
    <xf numFmtId="0" fontId="0" fillId="2" borderId="33" xfId="0" applyFill="1" applyBorder="1" applyAlignment="1">
      <alignment horizontal="center"/>
    </xf>
    <xf numFmtId="0" fontId="0" fillId="3" borderId="31" xfId="0" applyFill="1" applyBorder="1" applyAlignment="1">
      <alignment horizontal="center"/>
    </xf>
    <xf numFmtId="0" fontId="0" fillId="3" borderId="32" xfId="0" applyFill="1" applyBorder="1" applyAlignment="1">
      <alignment horizontal="center"/>
    </xf>
    <xf numFmtId="2" fontId="0" fillId="3" borderId="31" xfId="0" applyNumberFormat="1" applyFill="1" applyBorder="1" applyAlignment="1">
      <alignment horizontal="center"/>
    </xf>
    <xf numFmtId="2" fontId="0" fillId="3" borderId="32" xfId="0" applyNumberFormat="1" applyFill="1" applyBorder="1" applyAlignment="1">
      <alignment horizontal="center"/>
    </xf>
    <xf numFmtId="1" fontId="0" fillId="3" borderId="31" xfId="0" applyNumberFormat="1" applyFill="1" applyBorder="1" applyAlignment="1">
      <alignment horizontal="center"/>
    </xf>
    <xf numFmtId="1" fontId="0" fillId="3" borderId="32" xfId="0" applyNumberFormat="1" applyFill="1" applyBorder="1" applyAlignment="1">
      <alignment horizontal="center"/>
    </xf>
    <xf numFmtId="0" fontId="0" fillId="5" borderId="10" xfId="0" applyFill="1" applyBorder="1" applyAlignment="1">
      <alignment horizontal="center"/>
    </xf>
    <xf numFmtId="0" fontId="0" fillId="5" borderId="29" xfId="0" applyFill="1" applyBorder="1" applyAlignment="1">
      <alignment horizontal="center"/>
    </xf>
    <xf numFmtId="0" fontId="0" fillId="5" borderId="10" xfId="0" applyFill="1" applyBorder="1"/>
    <xf numFmtId="0" fontId="0" fillId="5" borderId="29" xfId="0" applyFill="1" applyBorder="1"/>
    <xf numFmtId="0" fontId="0" fillId="5" borderId="31" xfId="0" applyFill="1" applyBorder="1" applyAlignment="1">
      <alignment horizontal="center"/>
    </xf>
    <xf numFmtId="0" fontId="0" fillId="5" borderId="32" xfId="0" applyFill="1" applyBorder="1" applyAlignment="1">
      <alignment horizontal="center"/>
    </xf>
    <xf numFmtId="0" fontId="13" fillId="5" borderId="31" xfId="0" applyFont="1" applyFill="1" applyBorder="1" applyAlignment="1">
      <alignment horizontal="center"/>
    </xf>
    <xf numFmtId="0" fontId="0" fillId="0" borderId="0" xfId="0" applyBorder="1"/>
    <xf numFmtId="0" fontId="1" fillId="5" borderId="29" xfId="0" applyFont="1" applyFill="1" applyBorder="1"/>
    <xf numFmtId="0" fontId="1" fillId="5" borderId="32" xfId="0" applyFont="1" applyFill="1" applyBorder="1"/>
    <xf numFmtId="0" fontId="1" fillId="5" borderId="13" xfId="0" applyFont="1" applyFill="1" applyBorder="1"/>
    <xf numFmtId="0" fontId="1" fillId="5" borderId="29" xfId="0" applyFont="1" applyFill="1" applyBorder="1" applyAlignment="1">
      <alignment horizontal="center"/>
    </xf>
    <xf numFmtId="0" fontId="1" fillId="3" borderId="14" xfId="0" applyFont="1" applyFill="1" applyBorder="1"/>
    <xf numFmtId="0" fontId="1" fillId="3" borderId="30" xfId="0" applyFont="1" applyFill="1" applyBorder="1"/>
    <xf numFmtId="0" fontId="1" fillId="3" borderId="15" xfId="0" applyFont="1" applyFill="1" applyBorder="1"/>
    <xf numFmtId="0" fontId="1" fillId="3" borderId="22" xfId="0" applyFont="1" applyFill="1" applyBorder="1"/>
    <xf numFmtId="0" fontId="0" fillId="11" borderId="34" xfId="0" applyFill="1" applyBorder="1" applyAlignment="1">
      <alignment horizontal="center"/>
    </xf>
    <xf numFmtId="0" fontId="0" fillId="11" borderId="33" xfId="0" applyFill="1" applyBorder="1" applyAlignment="1">
      <alignment horizontal="center"/>
    </xf>
    <xf numFmtId="0" fontId="0" fillId="6" borderId="30" xfId="0" applyFill="1" applyBorder="1" applyAlignment="1">
      <alignment horizontal="center"/>
    </xf>
    <xf numFmtId="0" fontId="0" fillId="6" borderId="31" xfId="0" applyFill="1" applyBorder="1" applyAlignment="1">
      <alignment horizontal="center"/>
    </xf>
    <xf numFmtId="2" fontId="0" fillId="6" borderId="31" xfId="0" applyNumberFormat="1" applyFill="1" applyBorder="1" applyAlignment="1">
      <alignment horizontal="center"/>
    </xf>
    <xf numFmtId="1" fontId="0" fillId="6" borderId="33" xfId="0" applyNumberFormat="1" applyFill="1" applyBorder="1" applyAlignment="1">
      <alignment horizontal="center"/>
    </xf>
    <xf numFmtId="0" fontId="0" fillId="6" borderId="19" xfId="0" applyFill="1" applyBorder="1"/>
    <xf numFmtId="0" fontId="0" fillId="6" borderId="35" xfId="0" applyFill="1" applyBorder="1" applyAlignment="1">
      <alignment horizontal="center"/>
    </xf>
    <xf numFmtId="0" fontId="0" fillId="6" borderId="20" xfId="0" applyFill="1" applyBorder="1"/>
    <xf numFmtId="0" fontId="0" fillId="4" borderId="6" xfId="0" applyFill="1" applyBorder="1"/>
    <xf numFmtId="171" fontId="0" fillId="0" borderId="4" xfId="0" applyNumberFormat="1" applyBorder="1" applyAlignment="1">
      <alignment horizontal="center"/>
    </xf>
    <xf numFmtId="171" fontId="1" fillId="0" borderId="28" xfId="0" applyNumberFormat="1" applyFont="1" applyBorder="1" applyAlignment="1">
      <alignment horizontal="center"/>
    </xf>
    <xf numFmtId="9" fontId="0" fillId="0" borderId="4" xfId="0" applyNumberFormat="1" applyBorder="1" applyAlignment="1">
      <alignment horizontal="center"/>
    </xf>
    <xf numFmtId="9" fontId="0" fillId="0" borderId="28" xfId="0" applyNumberFormat="1" applyBorder="1" applyAlignment="1">
      <alignment horizontal="center"/>
    </xf>
  </cellXfs>
  <cellStyles count="4">
    <cellStyle name="Comma" xfId="1" builtinId="3"/>
    <cellStyle name="Normal" xfId="0" builtinId="0"/>
    <cellStyle name="Normal_Sheet4" xfId="3" xr:uid="{017F2690-04C3-4CF1-8609-4DCBF44EDB04}"/>
    <cellStyle name="Percent" xfId="2" builtinId="5"/>
  </cellStyles>
  <dxfs count="0"/>
  <tableStyles count="0" defaultTableStyle="TableStyleMedium2" defaultPivotStyle="PivotStyleLight16"/>
  <colors>
    <mruColors>
      <color rgb="FFF2FB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en-US" sz="2000" b="0" i="0" u="none" strike="noStrike" kern="1200" spc="0" baseline="0">
                <a:solidFill>
                  <a:sysClr val="windowText" lastClr="000000">
                    <a:lumMod val="65000"/>
                    <a:lumOff val="35000"/>
                  </a:sysClr>
                </a:solidFill>
              </a:rPr>
              <a:t>Percent of Current Emissions Offset</a:t>
            </a:r>
          </a:p>
        </c:rich>
      </c:tx>
      <c:layout>
        <c:manualLayout>
          <c:xMode val="edge"/>
          <c:yMode val="edge"/>
          <c:x val="0.25120464034522377"/>
          <c:y val="4.1963152597260515E-2"/>
        </c:manualLayout>
      </c:layout>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9707179164587899"/>
          <c:y val="0.3173797025371829"/>
          <c:w val="0.46641666666666665"/>
          <c:h val="0.77736111111111106"/>
        </c:manualLayout>
      </c:layout>
      <c:doughnutChart>
        <c:varyColors val="1"/>
        <c:ser>
          <c:idx val="0"/>
          <c:order val="0"/>
          <c:dPt>
            <c:idx val="0"/>
            <c:bubble3D val="0"/>
            <c:spPr>
              <a:solidFill>
                <a:schemeClr val="accent5"/>
              </a:solidFill>
              <a:ln w="19050">
                <a:solidFill>
                  <a:schemeClr val="lt1"/>
                </a:solidFill>
              </a:ln>
              <a:effectLst/>
            </c:spPr>
            <c:extLst>
              <c:ext xmlns:c16="http://schemas.microsoft.com/office/drawing/2014/chart" uri="{C3380CC4-5D6E-409C-BE32-E72D297353CC}">
                <c16:uniqueId val="{00000001-2ABE-4FDE-BADE-5832E17362FE}"/>
              </c:ext>
            </c:extLst>
          </c:dPt>
          <c:dPt>
            <c:idx val="1"/>
            <c:bubble3D val="0"/>
            <c:spPr>
              <a:solidFill>
                <a:schemeClr val="accent1">
                  <a:lumMod val="75000"/>
                </a:schemeClr>
              </a:solidFill>
              <a:ln w="19050">
                <a:solidFill>
                  <a:schemeClr val="lt1"/>
                </a:solidFill>
              </a:ln>
              <a:effectLst/>
            </c:spPr>
            <c:extLst>
              <c:ext xmlns:c16="http://schemas.microsoft.com/office/drawing/2014/chart" uri="{C3380CC4-5D6E-409C-BE32-E72D297353CC}">
                <c16:uniqueId val="{00000003-2ABE-4FDE-BADE-5832E17362FE}"/>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2ABE-4FDE-BADE-5832E17362FE}"/>
              </c:ext>
            </c:extLst>
          </c:dPt>
          <c:cat>
            <c:strRef>
              <c:f>Results!$F$10:$F$12</c:f>
              <c:strCache>
                <c:ptCount val="3"/>
                <c:pt idx="0">
                  <c:v>Lower Estimate</c:v>
                </c:pt>
                <c:pt idx="1">
                  <c:v>Upper Estimate</c:v>
                </c:pt>
                <c:pt idx="2">
                  <c:v>Remainder</c:v>
                </c:pt>
              </c:strCache>
            </c:strRef>
          </c:cat>
          <c:val>
            <c:numRef>
              <c:f>Results!$G$10:$G$12</c:f>
              <c:numCache>
                <c:formatCode>0%</c:formatCode>
                <c:ptCount val="3"/>
                <c:pt idx="0">
                  <c:v>0.39750581055618733</c:v>
                </c:pt>
                <c:pt idx="1">
                  <c:v>0.32536896684906519</c:v>
                </c:pt>
                <c:pt idx="2">
                  <c:v>0.27712522259474759</c:v>
                </c:pt>
              </c:numCache>
            </c:numRef>
          </c:val>
          <c:extLst>
            <c:ext xmlns:c16="http://schemas.microsoft.com/office/drawing/2014/chart" uri="{C3380CC4-5D6E-409C-BE32-E72D297353CC}">
              <c16:uniqueId val="{00000006-2ABE-4FDE-BADE-5832E17362FE}"/>
            </c:ext>
          </c:extLst>
        </c:ser>
        <c:dLbls>
          <c:showLegendKey val="0"/>
          <c:showVal val="0"/>
          <c:showCatName val="0"/>
          <c:showSerName val="0"/>
          <c:showPercent val="0"/>
          <c:showBubbleSize val="0"/>
          <c:showLeaderLines val="1"/>
        </c:dLbls>
        <c:firstSliceAng val="0"/>
        <c:holeSize val="65"/>
      </c:doughnutChart>
      <c:spPr>
        <a:noFill/>
        <a:ln>
          <a:noFill/>
        </a:ln>
        <a:effectLst/>
      </c:spPr>
    </c:plotArea>
    <c:legend>
      <c:legendPos val="b"/>
      <c:legendEntry>
        <c:idx val="2"/>
        <c:delete val="1"/>
      </c:legendEntry>
      <c:layout>
        <c:manualLayout>
          <c:xMode val="edge"/>
          <c:yMode val="edge"/>
          <c:x val="0.1037007874015748"/>
          <c:y val="0.87495519956557155"/>
          <c:w val="0.85729212039984359"/>
          <c:h val="0.12504480043442848"/>
        </c:manualLayout>
      </c:layout>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2018 WI</a:t>
            </a:r>
            <a:r>
              <a:rPr lang="en-US" baseline="0"/>
              <a:t> Manure Storage Emissions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doughnut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1AEC-46AA-A405-5DED675BF7DB}"/>
              </c:ext>
            </c:extLst>
          </c:dPt>
          <c:dPt>
            <c:idx val="1"/>
            <c:bubble3D val="0"/>
            <c:spPr>
              <a:solidFill>
                <a:schemeClr val="accent1"/>
              </a:solidFill>
              <a:ln w="19050">
                <a:solidFill>
                  <a:schemeClr val="lt1"/>
                </a:solidFill>
              </a:ln>
              <a:effectLst/>
            </c:spPr>
            <c:extLst>
              <c:ext xmlns:c16="http://schemas.microsoft.com/office/drawing/2014/chart" uri="{C3380CC4-5D6E-409C-BE32-E72D297353CC}">
                <c16:uniqueId val="{00000003-1AEC-46AA-A405-5DED675BF7DB}"/>
              </c:ext>
            </c:extLst>
          </c:dPt>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'Manure Management Calcs'!$AD$23:$AD$27</c15:sqref>
                  </c15:fullRef>
                </c:ext>
              </c:extLst>
              <c:f>'Manure Management Calcs'!$AD$23:$AD$24</c:f>
              <c:strCache>
                <c:ptCount val="2"/>
                <c:pt idx="0">
                  <c:v>Methane</c:v>
                </c:pt>
                <c:pt idx="1">
                  <c:v>N2O_storage</c:v>
                </c:pt>
              </c:strCache>
            </c:strRef>
          </c:cat>
          <c:val>
            <c:numRef>
              <c:extLst>
                <c:ext xmlns:c15="http://schemas.microsoft.com/office/drawing/2012/chart" uri="{02D57815-91ED-43cb-92C2-25804820EDAC}">
                  <c15:fullRef>
                    <c15:sqref>'Manure Management Calcs'!$AE$23:$AE$27</c15:sqref>
                  </c15:fullRef>
                </c:ext>
              </c:extLst>
              <c:f>'Manure Management Calcs'!$AE$23:$AE$24</c:f>
              <c:numCache>
                <c:formatCode>General</c:formatCode>
                <c:ptCount val="2"/>
                <c:pt idx="0">
                  <c:v>3.4323006915719372</c:v>
                </c:pt>
                <c:pt idx="1">
                  <c:v>0.92986829723000686</c:v>
                </c:pt>
              </c:numCache>
            </c:numRef>
          </c:val>
          <c:extLst>
            <c:ext xmlns:c15="http://schemas.microsoft.com/office/drawing/2012/chart" uri="{02D57815-91ED-43cb-92C2-25804820EDAC}">
              <c15:categoryFilterExceptions>
                <c15:categoryFilterException>
                  <c15:sqref>'Manure Management Calcs'!$AE$25</c15:sqref>
                  <c15:spPr xmlns:c15="http://schemas.microsoft.com/office/drawing/2012/chart">
                    <a:solidFill>
                      <a:schemeClr val="accent1">
                        <a:lumMod val="60000"/>
                        <a:lumOff val="40000"/>
                      </a:schemeClr>
                    </a:solidFill>
                    <a:ln w="19050">
                      <a:solidFill>
                        <a:schemeClr val="lt1"/>
                      </a:solidFill>
                    </a:ln>
                    <a:effectLst/>
                  </c15:spPr>
                  <c15:bubble3D val="0"/>
                </c15:categoryFilterException>
                <c15:categoryFilterException>
                  <c15:sqref>'Manure Management Calcs'!$AE$26</c15:sqref>
                  <c15:spPr xmlns:c15="http://schemas.microsoft.com/office/drawing/2012/chart">
                    <a:solidFill>
                      <a:schemeClr val="accent1">
                        <a:lumMod val="40000"/>
                        <a:lumOff val="60000"/>
                      </a:schemeClr>
                    </a:solidFill>
                    <a:ln w="19050">
                      <a:solidFill>
                        <a:schemeClr val="lt1"/>
                      </a:solidFill>
                    </a:ln>
                    <a:effectLst/>
                  </c15:spPr>
                  <c15:bubble3D val="0"/>
                </c15:categoryFilterException>
                <c15:categoryFilterException>
                  <c15:sqref>'Manure Management Calcs'!$AE$27</c15:sqref>
                  <c15:spPr xmlns:c15="http://schemas.microsoft.com/office/drawing/2012/chart">
                    <a:solidFill>
                      <a:schemeClr val="accent4">
                        <a:lumMod val="60000"/>
                        <a:lumOff val="40000"/>
                      </a:schemeClr>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4-1AEC-46AA-A405-5DED675BF7DB}"/>
            </c:ext>
          </c:extLst>
        </c:ser>
        <c:dLbls>
          <c:showLegendKey val="0"/>
          <c:showVal val="0"/>
          <c:showCatName val="0"/>
          <c:showSerName val="0"/>
          <c:showPercent val="0"/>
          <c:showBubbleSize val="0"/>
          <c:showLeaderLines val="1"/>
        </c:dLbls>
        <c:firstSliceAng val="0"/>
        <c:holeSize val="60"/>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2018 Total</a:t>
            </a:r>
            <a:r>
              <a:rPr lang="en-US" baseline="0"/>
              <a:t> Manure GHG Emissions</a:t>
            </a:r>
            <a:endParaRPr lang="en-US"/>
          </a:p>
        </c:rich>
      </c:tx>
      <c:layout>
        <c:manualLayout>
          <c:xMode val="edge"/>
          <c:yMode val="edge"/>
          <c:x val="0.12924416983762196"/>
          <c:y val="2.678571428571428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2803149606299207E-2"/>
          <c:y val="0.17171296296296296"/>
          <c:w val="0.87664129483814524"/>
          <c:h val="0.61498432487605714"/>
        </c:manualLayout>
      </c:layout>
      <c:barChart>
        <c:barDir val="col"/>
        <c:grouping val="stacked"/>
        <c:varyColors val="0"/>
        <c:ser>
          <c:idx val="0"/>
          <c:order val="0"/>
          <c:tx>
            <c:strRef>
              <c:f>'Manure Management Calcs'!$AE$30</c:f>
              <c:strCache>
                <c:ptCount val="1"/>
                <c:pt idx="0">
                  <c:v>Methane</c:v>
                </c:pt>
              </c:strCache>
            </c:strRef>
          </c:tx>
          <c:spPr>
            <a:solidFill>
              <a:schemeClr val="accent1"/>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'Manure Management Calcs'!$AD$31</c:f>
              <c:strCache>
                <c:ptCount val="1"/>
                <c:pt idx="0">
                  <c:v>Total</c:v>
                </c:pt>
              </c:strCache>
            </c:strRef>
          </c:cat>
          <c:val>
            <c:numRef>
              <c:f>'Manure Management Calcs'!$AE$31</c:f>
              <c:numCache>
                <c:formatCode>General</c:formatCode>
                <c:ptCount val="1"/>
                <c:pt idx="0">
                  <c:v>3.4323006915719372</c:v>
                </c:pt>
              </c:numCache>
            </c:numRef>
          </c:val>
          <c:extLst>
            <c:ext xmlns:c16="http://schemas.microsoft.com/office/drawing/2014/chart" uri="{C3380CC4-5D6E-409C-BE32-E72D297353CC}">
              <c16:uniqueId val="{00000000-8761-44CE-BA0E-F8E16AC66262}"/>
            </c:ext>
          </c:extLst>
        </c:ser>
        <c:ser>
          <c:idx val="1"/>
          <c:order val="1"/>
          <c:tx>
            <c:strRef>
              <c:f>'Manure Management Calcs'!$AF$30</c:f>
              <c:strCache>
                <c:ptCount val="1"/>
                <c:pt idx="0">
                  <c:v>N2O</c:v>
                </c:pt>
              </c:strCache>
            </c:strRef>
          </c:tx>
          <c:spPr>
            <a:solidFill>
              <a:schemeClr val="accent2"/>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'Manure Management Calcs'!$AD$31</c:f>
              <c:strCache>
                <c:ptCount val="1"/>
                <c:pt idx="0">
                  <c:v>Total</c:v>
                </c:pt>
              </c:strCache>
            </c:strRef>
          </c:cat>
          <c:val>
            <c:numRef>
              <c:f>'Manure Management Calcs'!$AF$31</c:f>
              <c:numCache>
                <c:formatCode>General</c:formatCode>
                <c:ptCount val="1"/>
                <c:pt idx="0">
                  <c:v>2.7237438261064679</c:v>
                </c:pt>
              </c:numCache>
            </c:numRef>
          </c:val>
          <c:extLst>
            <c:ext xmlns:c16="http://schemas.microsoft.com/office/drawing/2014/chart" uri="{C3380CC4-5D6E-409C-BE32-E72D297353CC}">
              <c16:uniqueId val="{00000001-8761-44CE-BA0E-F8E16AC66262}"/>
            </c:ext>
          </c:extLst>
        </c:ser>
        <c:dLbls>
          <c:showLegendKey val="0"/>
          <c:showVal val="0"/>
          <c:showCatName val="0"/>
          <c:showSerName val="0"/>
          <c:showPercent val="0"/>
          <c:showBubbleSize val="0"/>
        </c:dLbls>
        <c:gapWidth val="150"/>
        <c:overlap val="100"/>
        <c:axId val="1384392063"/>
        <c:axId val="1161043087"/>
      </c:barChart>
      <c:catAx>
        <c:axId val="1384392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61043087"/>
        <c:crosses val="autoZero"/>
        <c:auto val="1"/>
        <c:lblAlgn val="ctr"/>
        <c:lblOffset val="100"/>
        <c:noMultiLvlLbl val="0"/>
      </c:catAx>
      <c:valAx>
        <c:axId val="116104308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GHG Emission</a:t>
                </a:r>
                <a:r>
                  <a:rPr lang="en-US" baseline="0"/>
                  <a:t> (MMTCO2eq)</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8439206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NCS Scenario</a:t>
            </a:r>
            <a:r>
              <a:rPr lang="en-US" baseline="0"/>
              <a:t> Manure Storage  Emissions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doughnut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E902-43BF-A04C-600D42EE3910}"/>
              </c:ext>
            </c:extLst>
          </c:dPt>
          <c:dPt>
            <c:idx val="1"/>
            <c:bubble3D val="0"/>
            <c:spPr>
              <a:solidFill>
                <a:schemeClr val="accent1"/>
              </a:solidFill>
              <a:ln w="19050">
                <a:solidFill>
                  <a:schemeClr val="lt1"/>
                </a:solidFill>
              </a:ln>
              <a:effectLst/>
            </c:spPr>
            <c:extLst>
              <c:ext xmlns:c16="http://schemas.microsoft.com/office/drawing/2014/chart" uri="{C3380CC4-5D6E-409C-BE32-E72D297353CC}">
                <c16:uniqueId val="{00000003-E902-43BF-A04C-600D42EE3910}"/>
              </c:ext>
            </c:extLst>
          </c:dPt>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'Manure Management Calcs'!$AD$23:$AD$27</c15:sqref>
                  </c15:fullRef>
                </c:ext>
              </c:extLst>
              <c:f>'Manure Management Calcs'!$AD$23:$AD$24</c:f>
              <c:strCache>
                <c:ptCount val="2"/>
                <c:pt idx="0">
                  <c:v>Methane</c:v>
                </c:pt>
                <c:pt idx="1">
                  <c:v>N2O_storage</c:v>
                </c:pt>
              </c:strCache>
            </c:strRef>
          </c:cat>
          <c:val>
            <c:numRef>
              <c:extLst>
                <c:ext xmlns:c15="http://schemas.microsoft.com/office/drawing/2012/chart" uri="{02D57815-91ED-43cb-92C2-25804820EDAC}">
                  <c15:fullRef>
                    <c15:sqref>'Manure Management Calcs'!$AN$23:$AN$27</c15:sqref>
                  </c15:fullRef>
                </c:ext>
              </c:extLst>
              <c:f>'Manure Management Calcs'!$AN$23:$AN$24</c:f>
              <c:numCache>
                <c:formatCode>General</c:formatCode>
                <c:ptCount val="2"/>
                <c:pt idx="0">
                  <c:v>2.184783993064781</c:v>
                </c:pt>
                <c:pt idx="1">
                  <c:v>0.85374456994011416</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4-E902-43BF-A04C-600D42EE3910}"/>
            </c:ext>
          </c:extLst>
        </c:ser>
        <c:dLbls>
          <c:showLegendKey val="0"/>
          <c:showVal val="0"/>
          <c:showCatName val="0"/>
          <c:showSerName val="0"/>
          <c:showPercent val="0"/>
          <c:showBubbleSize val="0"/>
          <c:showLeaderLines val="1"/>
        </c:dLbls>
        <c:firstSliceAng val="0"/>
        <c:holeSize val="60"/>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NCS Scenario Total Manure GHG</a:t>
            </a:r>
            <a:r>
              <a:rPr lang="en-US" baseline="0"/>
              <a:t> Emissions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2993388484667262"/>
          <c:y val="0.17171296296296296"/>
          <c:w val="0.8395104156284261"/>
          <c:h val="0.61498432487605714"/>
        </c:manualLayout>
      </c:layout>
      <c:barChart>
        <c:barDir val="col"/>
        <c:grouping val="stacked"/>
        <c:varyColors val="0"/>
        <c:ser>
          <c:idx val="0"/>
          <c:order val="0"/>
          <c:tx>
            <c:strRef>
              <c:f>'Manure Management Calcs'!$AN$30</c:f>
              <c:strCache>
                <c:ptCount val="1"/>
                <c:pt idx="0">
                  <c:v>Methane</c:v>
                </c:pt>
              </c:strCache>
            </c:strRef>
          </c:tx>
          <c:spPr>
            <a:solidFill>
              <a:schemeClr val="accent1"/>
            </a:solidFill>
            <a:ln>
              <a:solidFill>
                <a:schemeClr val="accent1"/>
              </a:solidFill>
            </a:ln>
            <a:effectLst/>
          </c:spPr>
          <c:invertIfNegative val="0"/>
          <c:dLbls>
            <c:numFmt formatCode="#,##0.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'Manure Management Calcs'!$AD$31</c:f>
              <c:strCache>
                <c:ptCount val="1"/>
                <c:pt idx="0">
                  <c:v>Total</c:v>
                </c:pt>
              </c:strCache>
            </c:strRef>
          </c:cat>
          <c:val>
            <c:numRef>
              <c:f>'Manure Management Calcs'!$AN$31</c:f>
              <c:numCache>
                <c:formatCode>General</c:formatCode>
                <c:ptCount val="1"/>
                <c:pt idx="0">
                  <c:v>2.184783993064781</c:v>
                </c:pt>
              </c:numCache>
            </c:numRef>
          </c:val>
          <c:extLst>
            <c:ext xmlns:c16="http://schemas.microsoft.com/office/drawing/2014/chart" uri="{C3380CC4-5D6E-409C-BE32-E72D297353CC}">
              <c16:uniqueId val="{00000000-E7AF-4BE1-A052-C164D42F27DD}"/>
            </c:ext>
          </c:extLst>
        </c:ser>
        <c:ser>
          <c:idx val="1"/>
          <c:order val="1"/>
          <c:tx>
            <c:strRef>
              <c:f>'Manure Management Calcs'!$AO$30</c:f>
              <c:strCache>
                <c:ptCount val="1"/>
                <c:pt idx="0">
                  <c:v>N2O</c:v>
                </c:pt>
              </c:strCache>
            </c:strRef>
          </c:tx>
          <c:spPr>
            <a:solidFill>
              <a:schemeClr val="accent2"/>
            </a:solidFill>
            <a:ln>
              <a:solidFill>
                <a:schemeClr val="accent2"/>
              </a:solidFill>
            </a:ln>
            <a:effectLst/>
          </c:spPr>
          <c:invertIfNegative val="0"/>
          <c:dLbls>
            <c:numFmt formatCode="#,##0.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'Manure Management Calcs'!$AD$31</c:f>
              <c:strCache>
                <c:ptCount val="1"/>
                <c:pt idx="0">
                  <c:v>Total</c:v>
                </c:pt>
              </c:strCache>
            </c:strRef>
          </c:cat>
          <c:val>
            <c:numRef>
              <c:f>'Manure Management Calcs'!$AO$31</c:f>
              <c:numCache>
                <c:formatCode>General</c:formatCode>
                <c:ptCount val="1"/>
                <c:pt idx="0">
                  <c:v>2.648074686621257</c:v>
                </c:pt>
              </c:numCache>
            </c:numRef>
          </c:val>
          <c:extLst>
            <c:ext xmlns:c16="http://schemas.microsoft.com/office/drawing/2014/chart" uri="{C3380CC4-5D6E-409C-BE32-E72D297353CC}">
              <c16:uniqueId val="{00000001-E7AF-4BE1-A052-C164D42F27DD}"/>
            </c:ext>
          </c:extLst>
        </c:ser>
        <c:dLbls>
          <c:showLegendKey val="0"/>
          <c:showVal val="0"/>
          <c:showCatName val="0"/>
          <c:showSerName val="0"/>
          <c:showPercent val="0"/>
          <c:showBubbleSize val="0"/>
        </c:dLbls>
        <c:gapWidth val="150"/>
        <c:overlap val="100"/>
        <c:axId val="1384392063"/>
        <c:axId val="1161043087"/>
      </c:barChart>
      <c:catAx>
        <c:axId val="1384392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61043087"/>
        <c:crosses val="autoZero"/>
        <c:auto val="1"/>
        <c:lblAlgn val="ctr"/>
        <c:lblOffset val="100"/>
        <c:noMultiLvlLbl val="0"/>
      </c:catAx>
      <c:valAx>
        <c:axId val="1161043087"/>
        <c:scaling>
          <c:orientation val="minMax"/>
          <c:max val="7"/>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GHG Emission</a:t>
                </a:r>
                <a:r>
                  <a:rPr lang="en-US" baseline="0"/>
                  <a:t> (MMTCO2eq)</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8439206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2018 Total Manure </a:t>
            </a:r>
            <a:r>
              <a:rPr lang="en-US" baseline="0"/>
              <a:t>Emissions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doughnut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B7C1-48DB-BA8C-7D2C06944707}"/>
              </c:ext>
            </c:extLst>
          </c:dPt>
          <c:dPt>
            <c:idx val="1"/>
            <c:bubble3D val="0"/>
            <c:spPr>
              <a:solidFill>
                <a:schemeClr val="accent1"/>
              </a:solidFill>
              <a:ln w="19050">
                <a:solidFill>
                  <a:schemeClr val="lt1"/>
                </a:solidFill>
              </a:ln>
              <a:effectLst/>
            </c:spPr>
            <c:extLst>
              <c:ext xmlns:c16="http://schemas.microsoft.com/office/drawing/2014/chart" uri="{C3380CC4-5D6E-409C-BE32-E72D297353CC}">
                <c16:uniqueId val="{00000003-B7C1-48DB-BA8C-7D2C06944707}"/>
              </c:ext>
            </c:extLst>
          </c:dPt>
          <c:dPt>
            <c:idx val="2"/>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05-B7C1-48DB-BA8C-7D2C06944707}"/>
              </c:ext>
            </c:extLst>
          </c:dPt>
          <c:dPt>
            <c:idx val="3"/>
            <c:bubble3D val="0"/>
            <c:spPr>
              <a:solidFill>
                <a:schemeClr val="accent1">
                  <a:lumMod val="40000"/>
                  <a:lumOff val="60000"/>
                </a:schemeClr>
              </a:solidFill>
              <a:ln w="19050">
                <a:solidFill>
                  <a:schemeClr val="lt1"/>
                </a:solidFill>
              </a:ln>
              <a:effectLst/>
            </c:spPr>
            <c:extLst>
              <c:ext xmlns:c16="http://schemas.microsoft.com/office/drawing/2014/chart" uri="{C3380CC4-5D6E-409C-BE32-E72D297353CC}">
                <c16:uniqueId val="{00000007-B7C1-48DB-BA8C-7D2C06944707}"/>
              </c:ext>
            </c:extLst>
          </c:dPt>
          <c:dPt>
            <c:idx val="4"/>
            <c:bubble3D val="0"/>
            <c:spPr>
              <a:solidFill>
                <a:schemeClr val="accent4">
                  <a:lumMod val="60000"/>
                  <a:lumOff val="40000"/>
                </a:schemeClr>
              </a:solidFill>
              <a:ln w="19050">
                <a:solidFill>
                  <a:schemeClr val="lt1"/>
                </a:solidFill>
              </a:ln>
              <a:effectLst/>
            </c:spPr>
            <c:extLst>
              <c:ext xmlns:c16="http://schemas.microsoft.com/office/drawing/2014/chart" uri="{C3380CC4-5D6E-409C-BE32-E72D297353CC}">
                <c16:uniqueId val="{00000009-B7C1-48DB-BA8C-7D2C06944707}"/>
              </c:ext>
            </c:extLst>
          </c:dPt>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'Manure Management Calcs'!$AD$23:$AD$27</c:f>
              <c:strCache>
                <c:ptCount val="5"/>
                <c:pt idx="0">
                  <c:v>Methane</c:v>
                </c:pt>
                <c:pt idx="1">
                  <c:v>N2O_storage</c:v>
                </c:pt>
                <c:pt idx="2">
                  <c:v>N2O_field</c:v>
                </c:pt>
                <c:pt idx="3">
                  <c:v>N2O_indirect</c:v>
                </c:pt>
                <c:pt idx="4">
                  <c:v>N2O_leaching</c:v>
                </c:pt>
              </c:strCache>
            </c:strRef>
          </c:cat>
          <c:val>
            <c:numRef>
              <c:f>'Manure Management Calcs'!$AE$23:$AE$27</c:f>
              <c:numCache>
                <c:formatCode>General</c:formatCode>
                <c:ptCount val="5"/>
                <c:pt idx="0">
                  <c:v>3.4323006915719372</c:v>
                </c:pt>
                <c:pt idx="1">
                  <c:v>0.92986829723000686</c:v>
                </c:pt>
                <c:pt idx="2">
                  <c:v>1.3865089158478898</c:v>
                </c:pt>
                <c:pt idx="3">
                  <c:v>0.19170193554285717</c:v>
                </c:pt>
                <c:pt idx="4">
                  <c:v>0.21566467748571425</c:v>
                </c:pt>
              </c:numCache>
            </c:numRef>
          </c:val>
          <c:extLst>
            <c:ext xmlns:c16="http://schemas.microsoft.com/office/drawing/2014/chart" uri="{C3380CC4-5D6E-409C-BE32-E72D297353CC}">
              <c16:uniqueId val="{0000000A-B7C1-48DB-BA8C-7D2C06944707}"/>
            </c:ext>
          </c:extLst>
        </c:ser>
        <c:dLbls>
          <c:showLegendKey val="0"/>
          <c:showVal val="0"/>
          <c:showCatName val="0"/>
          <c:showSerName val="0"/>
          <c:showPercent val="0"/>
          <c:showBubbleSize val="0"/>
          <c:showLeaderLines val="1"/>
        </c:dLbls>
        <c:firstSliceAng val="0"/>
        <c:holeSize val="60"/>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NCS Scenario</a:t>
            </a:r>
            <a:r>
              <a:rPr lang="en-US" baseline="0"/>
              <a:t> Total Manure Emissions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doughnut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C486-42FA-B5D0-95E3A2AECB9D}"/>
              </c:ext>
            </c:extLst>
          </c:dPt>
          <c:dPt>
            <c:idx val="1"/>
            <c:bubble3D val="0"/>
            <c:spPr>
              <a:solidFill>
                <a:schemeClr val="accent1"/>
              </a:solidFill>
              <a:ln w="19050">
                <a:solidFill>
                  <a:schemeClr val="lt1"/>
                </a:solidFill>
              </a:ln>
              <a:effectLst/>
            </c:spPr>
            <c:extLst>
              <c:ext xmlns:c16="http://schemas.microsoft.com/office/drawing/2014/chart" uri="{C3380CC4-5D6E-409C-BE32-E72D297353CC}">
                <c16:uniqueId val="{00000003-C486-42FA-B5D0-95E3A2AECB9D}"/>
              </c:ext>
            </c:extLst>
          </c:dPt>
          <c:dPt>
            <c:idx val="2"/>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05-C486-42FA-B5D0-95E3A2AECB9D}"/>
              </c:ext>
            </c:extLst>
          </c:dPt>
          <c:dPt>
            <c:idx val="3"/>
            <c:bubble3D val="0"/>
            <c:spPr>
              <a:solidFill>
                <a:schemeClr val="accent1">
                  <a:lumMod val="40000"/>
                  <a:lumOff val="60000"/>
                </a:schemeClr>
              </a:solidFill>
              <a:ln w="19050">
                <a:solidFill>
                  <a:schemeClr val="lt1"/>
                </a:solidFill>
              </a:ln>
              <a:effectLst/>
            </c:spPr>
            <c:extLst>
              <c:ext xmlns:c16="http://schemas.microsoft.com/office/drawing/2014/chart" uri="{C3380CC4-5D6E-409C-BE32-E72D297353CC}">
                <c16:uniqueId val="{00000007-C486-42FA-B5D0-95E3A2AECB9D}"/>
              </c:ext>
            </c:extLst>
          </c:dPt>
          <c:dPt>
            <c:idx val="4"/>
            <c:bubble3D val="0"/>
            <c:spPr>
              <a:solidFill>
                <a:schemeClr val="accent4"/>
              </a:solidFill>
              <a:ln w="19050">
                <a:solidFill>
                  <a:schemeClr val="lt1"/>
                </a:solidFill>
              </a:ln>
              <a:effectLst/>
            </c:spPr>
            <c:extLst>
              <c:ext xmlns:c16="http://schemas.microsoft.com/office/drawing/2014/chart" uri="{C3380CC4-5D6E-409C-BE32-E72D297353CC}">
                <c16:uniqueId val="{00000009-C486-42FA-B5D0-95E3A2AECB9D}"/>
              </c:ext>
            </c:extLst>
          </c:dPt>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'Manure Management Calcs'!$AD$23:$AD$27</c:f>
              <c:strCache>
                <c:ptCount val="5"/>
                <c:pt idx="0">
                  <c:v>Methane</c:v>
                </c:pt>
                <c:pt idx="1">
                  <c:v>N2O_storage</c:v>
                </c:pt>
                <c:pt idx="2">
                  <c:v>N2O_field</c:v>
                </c:pt>
                <c:pt idx="3">
                  <c:v>N2O_indirect</c:v>
                </c:pt>
                <c:pt idx="4">
                  <c:v>N2O_leaching</c:v>
                </c:pt>
              </c:strCache>
            </c:strRef>
          </c:cat>
          <c:val>
            <c:numRef>
              <c:f>'Manure Management Calcs'!$AN$23:$AN$27</c:f>
              <c:numCache>
                <c:formatCode>General</c:formatCode>
                <c:ptCount val="5"/>
                <c:pt idx="0">
                  <c:v>2.184783993064781</c:v>
                </c:pt>
                <c:pt idx="1">
                  <c:v>0.85374456994011416</c:v>
                </c:pt>
                <c:pt idx="2">
                  <c:v>1.3869635036525716</c:v>
                </c:pt>
                <c:pt idx="3">
                  <c:v>0.19170193554285717</c:v>
                </c:pt>
                <c:pt idx="4">
                  <c:v>0.21566467748571425</c:v>
                </c:pt>
              </c:numCache>
            </c:numRef>
          </c:val>
          <c:extLst>
            <c:ext xmlns:c16="http://schemas.microsoft.com/office/drawing/2014/chart" uri="{C3380CC4-5D6E-409C-BE32-E72D297353CC}">
              <c16:uniqueId val="{0000000A-C486-42FA-B5D0-95E3A2AECB9D}"/>
            </c:ext>
          </c:extLst>
        </c:ser>
        <c:dLbls>
          <c:showLegendKey val="0"/>
          <c:showVal val="0"/>
          <c:showCatName val="0"/>
          <c:showSerName val="0"/>
          <c:showPercent val="0"/>
          <c:showBubbleSize val="0"/>
          <c:showLeaderLines val="1"/>
        </c:dLbls>
        <c:firstSliceAng val="0"/>
        <c:holeSize val="60"/>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 Id="rId6" Type="http://schemas.openxmlformats.org/officeDocument/2006/relationships/chart" Target="../charts/chart7.xml"/><Relationship Id="rId5" Type="http://schemas.openxmlformats.org/officeDocument/2006/relationships/chart" Target="../charts/chart6.xml"/><Relationship Id="rId4"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xdr:col>
      <xdr:colOff>355600</xdr:colOff>
      <xdr:row>7</xdr:row>
      <xdr:rowOff>88899</xdr:rowOff>
    </xdr:from>
    <xdr:to>
      <xdr:col>8</xdr:col>
      <xdr:colOff>177800</xdr:colOff>
      <xdr:row>23</xdr:row>
      <xdr:rowOff>100429</xdr:rowOff>
    </xdr:to>
    <xdr:graphicFrame macro="">
      <xdr:nvGraphicFramePr>
        <xdr:cNvPr id="16" name="Chart 15">
          <a:extLst>
            <a:ext uri="{FF2B5EF4-FFF2-40B4-BE49-F238E27FC236}">
              <a16:creationId xmlns:a16="http://schemas.microsoft.com/office/drawing/2014/main" id="{4F8FCAC4-3796-48A5-AD4A-C9D71FEDF0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0.41599</cdr:x>
      <cdr:y>0.44977</cdr:y>
    </cdr:from>
    <cdr:to>
      <cdr:x>0.75072</cdr:x>
      <cdr:y>0.69283</cdr:y>
    </cdr:to>
    <cdr:sp macro="" textlink="Results!$G$10">
      <cdr:nvSpPr>
        <cdr:cNvPr id="2" name="TextBox 1">
          <a:extLst xmlns:a="http://schemas.openxmlformats.org/drawingml/2006/main">
            <a:ext uri="{FF2B5EF4-FFF2-40B4-BE49-F238E27FC236}">
              <a16:creationId xmlns:a16="http://schemas.microsoft.com/office/drawing/2014/main" id="{7ED7E611-E399-1544-D493-B700114AABDE}"/>
            </a:ext>
          </a:extLst>
        </cdr:cNvPr>
        <cdr:cNvSpPr txBox="1"/>
      </cdr:nvSpPr>
      <cdr:spPr>
        <a:xfrm xmlns:a="http://schemas.openxmlformats.org/drawingml/2006/main">
          <a:off x="1484537" y="1336109"/>
          <a:ext cx="1194551" cy="72204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3249C6CE-46F8-4E68-A0F6-1A4F9EC44E9F}" type="TxLink">
            <a:rPr lang="en-US" sz="2800" b="1" i="0" u="none" strike="noStrike">
              <a:solidFill>
                <a:schemeClr val="accent5"/>
              </a:solidFill>
              <a:latin typeface="Calibri"/>
              <a:ea typeface="Calibri"/>
              <a:cs typeface="Calibri"/>
            </a:rPr>
            <a:pPr/>
            <a:t>40%</a:t>
          </a:fld>
          <a:r>
            <a:rPr lang="en-US" sz="2800" b="1" i="0" u="none" strike="noStrike">
              <a:solidFill>
                <a:schemeClr val="accent5"/>
              </a:solidFill>
              <a:latin typeface="Calibri"/>
              <a:ea typeface="Calibri"/>
              <a:cs typeface="Calibri"/>
            </a:rPr>
            <a:t>-</a:t>
          </a:r>
          <a:endParaRPr lang="en-US" sz="2800" b="1">
            <a:solidFill>
              <a:schemeClr val="accent5"/>
            </a:solidFill>
          </a:endParaRPr>
        </a:p>
      </cdr:txBody>
    </cdr:sp>
  </cdr:relSizeAnchor>
  <cdr:relSizeAnchor xmlns:cdr="http://schemas.openxmlformats.org/drawingml/2006/chartDrawing">
    <cdr:from>
      <cdr:x>0.40603</cdr:x>
      <cdr:y>0.57973</cdr:y>
    </cdr:from>
    <cdr:to>
      <cdr:x>0.70036</cdr:x>
      <cdr:y>0.78878</cdr:y>
    </cdr:to>
    <cdr:sp macro="" textlink="Results!$G$13">
      <cdr:nvSpPr>
        <cdr:cNvPr id="3" name="TextBox 2">
          <a:extLst xmlns:a="http://schemas.openxmlformats.org/drawingml/2006/main">
            <a:ext uri="{FF2B5EF4-FFF2-40B4-BE49-F238E27FC236}">
              <a16:creationId xmlns:a16="http://schemas.microsoft.com/office/drawing/2014/main" id="{5CBE6F93-EBC9-EA15-363A-6DDBB0050F14}"/>
            </a:ext>
          </a:extLst>
        </cdr:cNvPr>
        <cdr:cNvSpPr txBox="1"/>
      </cdr:nvSpPr>
      <cdr:spPr>
        <a:xfrm xmlns:a="http://schemas.openxmlformats.org/drawingml/2006/main">
          <a:off x="1450288" y="1694554"/>
          <a:ext cx="1051310" cy="611054"/>
        </a:xfrm>
        <a:prstGeom xmlns:a="http://schemas.openxmlformats.org/drawingml/2006/main" prst="rect">
          <a:avLst/>
        </a:prstGeom>
        <a:noFill xmlns:a="http://schemas.openxmlformats.org/drawingml/2006/main"/>
      </cdr:spPr>
      <cdr:txBody>
        <a:bodyPr xmlns:a="http://schemas.openxmlformats.org/drawingml/2006/main" vertOverflow="clip" wrap="square" rtlCol="0"/>
        <a:lstStyle xmlns:a="http://schemas.openxmlformats.org/drawingml/2006/main"/>
        <a:p xmlns:a="http://schemas.openxmlformats.org/drawingml/2006/main">
          <a:fld id="{69320ED4-603C-434E-A92C-52BA2D154AF1}" type="TxLink">
            <a:rPr lang="en-US" sz="2800" b="1" i="0" u="none" strike="noStrike" kern="1200">
              <a:solidFill>
                <a:schemeClr val="accent1">
                  <a:lumMod val="75000"/>
                </a:schemeClr>
              </a:solidFill>
              <a:latin typeface="Calibri"/>
              <a:ea typeface="Calibri"/>
              <a:cs typeface="Calibri"/>
            </a:rPr>
            <a:pPr/>
            <a:t>72%</a:t>
          </a:fld>
          <a:endParaRPr lang="en-US" sz="2800" b="1" kern="1200">
            <a:solidFill>
              <a:schemeClr val="accent1">
                <a:lumMod val="75000"/>
              </a:schemeClr>
            </a:solidFill>
          </a:endParaRPr>
        </a:p>
      </cdr:txBody>
    </cdr:sp>
  </cdr:relSizeAnchor>
</c:userShapes>
</file>

<file path=xl/drawings/drawing3.xml><?xml version="1.0" encoding="utf-8"?>
<xdr:wsDr xmlns:xdr="http://schemas.openxmlformats.org/drawingml/2006/spreadsheetDrawing" xmlns:a="http://schemas.openxmlformats.org/drawingml/2006/main">
  <xdr:twoCellAnchor>
    <xdr:from>
      <xdr:col>5</xdr:col>
      <xdr:colOff>336549</xdr:colOff>
      <xdr:row>18</xdr:row>
      <xdr:rowOff>92075</xdr:rowOff>
    </xdr:from>
    <xdr:to>
      <xdr:col>10</xdr:col>
      <xdr:colOff>800100</xdr:colOff>
      <xdr:row>33</xdr:row>
      <xdr:rowOff>73025</xdr:rowOff>
    </xdr:to>
    <xdr:graphicFrame macro="">
      <xdr:nvGraphicFramePr>
        <xdr:cNvPr id="2" name="Chart 1">
          <a:extLst>
            <a:ext uri="{FF2B5EF4-FFF2-40B4-BE49-F238E27FC236}">
              <a16:creationId xmlns:a16="http://schemas.microsoft.com/office/drawing/2014/main" id="{D899A627-649E-402A-94E7-69343108F3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339725</xdr:colOff>
      <xdr:row>3</xdr:row>
      <xdr:rowOff>53975</xdr:rowOff>
    </xdr:from>
    <xdr:to>
      <xdr:col>11</xdr:col>
      <xdr:colOff>0</xdr:colOff>
      <xdr:row>17</xdr:row>
      <xdr:rowOff>111125</xdr:rowOff>
    </xdr:to>
    <xdr:graphicFrame macro="">
      <xdr:nvGraphicFramePr>
        <xdr:cNvPr id="3" name="Chart 2">
          <a:extLst>
            <a:ext uri="{FF2B5EF4-FFF2-40B4-BE49-F238E27FC236}">
              <a16:creationId xmlns:a16="http://schemas.microsoft.com/office/drawing/2014/main" id="{C7B59BDF-593A-4272-A035-8E98287FA0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463549</xdr:colOff>
      <xdr:row>18</xdr:row>
      <xdr:rowOff>28575</xdr:rowOff>
    </xdr:from>
    <xdr:to>
      <xdr:col>18</xdr:col>
      <xdr:colOff>596900</xdr:colOff>
      <xdr:row>33</xdr:row>
      <xdr:rowOff>9525</xdr:rowOff>
    </xdr:to>
    <xdr:graphicFrame macro="">
      <xdr:nvGraphicFramePr>
        <xdr:cNvPr id="4" name="Chart 3">
          <a:extLst>
            <a:ext uri="{FF2B5EF4-FFF2-40B4-BE49-F238E27FC236}">
              <a16:creationId xmlns:a16="http://schemas.microsoft.com/office/drawing/2014/main" id="{9590C59E-2B9D-4C98-AE2F-B79602E381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457200</xdr:colOff>
      <xdr:row>2</xdr:row>
      <xdr:rowOff>177800</xdr:rowOff>
    </xdr:from>
    <xdr:to>
      <xdr:col>18</xdr:col>
      <xdr:colOff>561975</xdr:colOff>
      <xdr:row>17</xdr:row>
      <xdr:rowOff>44450</xdr:rowOff>
    </xdr:to>
    <xdr:graphicFrame macro="">
      <xdr:nvGraphicFramePr>
        <xdr:cNvPr id="6" name="Chart 5">
          <a:extLst>
            <a:ext uri="{FF2B5EF4-FFF2-40B4-BE49-F238E27FC236}">
              <a16:creationId xmlns:a16="http://schemas.microsoft.com/office/drawing/2014/main" id="{6845AEBA-48F0-46AD-AC7C-CE6D665F73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323850</xdr:colOff>
      <xdr:row>34</xdr:row>
      <xdr:rowOff>120650</xdr:rowOff>
    </xdr:from>
    <xdr:to>
      <xdr:col>10</xdr:col>
      <xdr:colOff>787401</xdr:colOff>
      <xdr:row>49</xdr:row>
      <xdr:rowOff>101600</xdr:rowOff>
    </xdr:to>
    <xdr:graphicFrame macro="">
      <xdr:nvGraphicFramePr>
        <xdr:cNvPr id="7" name="Chart 6">
          <a:extLst>
            <a:ext uri="{FF2B5EF4-FFF2-40B4-BE49-F238E27FC236}">
              <a16:creationId xmlns:a16="http://schemas.microsoft.com/office/drawing/2014/main" id="{90AB9E8F-49D0-416A-9646-4D11A5F702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508000</xdr:colOff>
      <xdr:row>34</xdr:row>
      <xdr:rowOff>152400</xdr:rowOff>
    </xdr:from>
    <xdr:to>
      <xdr:col>19</xdr:col>
      <xdr:colOff>57150</xdr:colOff>
      <xdr:row>49</xdr:row>
      <xdr:rowOff>153191</xdr:rowOff>
    </xdr:to>
    <xdr:graphicFrame macro="">
      <xdr:nvGraphicFramePr>
        <xdr:cNvPr id="8" name="Chart 7">
          <a:extLst>
            <a:ext uri="{FF2B5EF4-FFF2-40B4-BE49-F238E27FC236}">
              <a16:creationId xmlns:a16="http://schemas.microsoft.com/office/drawing/2014/main" id="{F9412CEE-26F5-4C07-9C71-AC99608A26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8CA78-C67D-46BC-AEA0-26B6CAC3757D}">
  <dimension ref="A1:T45"/>
  <sheetViews>
    <sheetView workbookViewId="0">
      <selection activeCell="F18" sqref="F18"/>
    </sheetView>
  </sheetViews>
  <sheetFormatPr defaultRowHeight="14.5" x14ac:dyDescent="0.35"/>
  <sheetData>
    <row r="1" spans="1:20" ht="15.5" customHeight="1" x14ac:dyDescent="0.35">
      <c r="A1" s="176" t="s">
        <v>594</v>
      </c>
      <c r="B1" s="177"/>
      <c r="C1" s="177"/>
      <c r="D1" s="177"/>
      <c r="E1" s="177"/>
      <c r="F1" s="177"/>
      <c r="G1" s="177"/>
      <c r="H1" s="177"/>
      <c r="I1" s="177"/>
      <c r="J1" s="177"/>
      <c r="K1" s="177"/>
      <c r="L1" s="177"/>
      <c r="M1" s="177"/>
      <c r="N1" s="177"/>
      <c r="O1" s="177"/>
      <c r="P1" s="177"/>
      <c r="Q1" s="177"/>
      <c r="R1" s="177"/>
      <c r="S1" s="177"/>
      <c r="T1" s="177"/>
    </row>
    <row r="2" spans="1:20" x14ac:dyDescent="0.35">
      <c r="A2" s="177"/>
      <c r="B2" s="177"/>
      <c r="C2" s="177"/>
      <c r="D2" s="177"/>
      <c r="E2" s="177"/>
      <c r="F2" s="177"/>
      <c r="G2" s="177"/>
      <c r="H2" s="177"/>
      <c r="I2" s="177"/>
      <c r="J2" s="177"/>
      <c r="K2" s="177"/>
      <c r="L2" s="177"/>
      <c r="M2" s="177"/>
      <c r="N2" s="177"/>
      <c r="O2" s="177"/>
      <c r="P2" s="177"/>
      <c r="Q2" s="177"/>
      <c r="R2" s="177"/>
      <c r="S2" s="177"/>
      <c r="T2" s="177"/>
    </row>
    <row r="3" spans="1:20" x14ac:dyDescent="0.35">
      <c r="A3" s="177"/>
      <c r="B3" s="177"/>
      <c r="C3" s="177"/>
      <c r="D3" s="177"/>
      <c r="E3" s="177"/>
      <c r="F3" s="177"/>
      <c r="G3" s="177"/>
      <c r="H3" s="177"/>
      <c r="I3" s="177"/>
      <c r="J3" s="177"/>
      <c r="K3" s="177"/>
      <c r="L3" s="177"/>
      <c r="M3" s="177"/>
      <c r="N3" s="177"/>
      <c r="O3" s="177"/>
      <c r="P3" s="177"/>
      <c r="Q3" s="177"/>
      <c r="R3" s="177"/>
      <c r="S3" s="177"/>
      <c r="T3" s="177"/>
    </row>
    <row r="4" spans="1:20" x14ac:dyDescent="0.35">
      <c r="A4" s="177"/>
      <c r="B4" s="177"/>
      <c r="C4" s="177"/>
      <c r="D4" s="177"/>
      <c r="E4" s="177"/>
      <c r="F4" s="177"/>
      <c r="G4" s="177"/>
      <c r="H4" s="177"/>
      <c r="I4" s="177"/>
      <c r="J4" s="177"/>
      <c r="K4" s="177"/>
      <c r="L4" s="177"/>
      <c r="M4" s="177"/>
      <c r="N4" s="177"/>
      <c r="O4" s="177"/>
      <c r="P4" s="177"/>
      <c r="Q4" s="177"/>
      <c r="R4" s="177"/>
      <c r="S4" s="177"/>
      <c r="T4" s="177"/>
    </row>
    <row r="5" spans="1:20" ht="16.5" customHeight="1" x14ac:dyDescent="0.35">
      <c r="A5" s="177"/>
      <c r="B5" s="177"/>
      <c r="C5" s="177"/>
      <c r="D5" s="177"/>
      <c r="E5" s="177"/>
      <c r="F5" s="177"/>
      <c r="G5" s="177"/>
      <c r="H5" s="177"/>
      <c r="I5" s="177"/>
      <c r="J5" s="177"/>
      <c r="K5" s="177"/>
      <c r="L5" s="177"/>
      <c r="M5" s="177"/>
      <c r="N5" s="177"/>
      <c r="O5" s="177"/>
      <c r="P5" s="177"/>
      <c r="Q5" s="177"/>
      <c r="R5" s="177"/>
      <c r="S5" s="177"/>
      <c r="T5" s="177"/>
    </row>
    <row r="7" spans="1:20" x14ac:dyDescent="0.35">
      <c r="A7" s="174" t="s">
        <v>562</v>
      </c>
    </row>
    <row r="8" spans="1:20" x14ac:dyDescent="0.35">
      <c r="A8" t="s">
        <v>563</v>
      </c>
    </row>
    <row r="9" spans="1:20" x14ac:dyDescent="0.35">
      <c r="A9" t="s">
        <v>564</v>
      </c>
    </row>
    <row r="10" spans="1:20" x14ac:dyDescent="0.35">
      <c r="A10" t="s">
        <v>566</v>
      </c>
    </row>
    <row r="11" spans="1:20" x14ac:dyDescent="0.35">
      <c r="A11" t="s">
        <v>568</v>
      </c>
    </row>
    <row r="12" spans="1:20" x14ac:dyDescent="0.35">
      <c r="A12" t="s">
        <v>569</v>
      </c>
    </row>
    <row r="13" spans="1:20" x14ac:dyDescent="0.35">
      <c r="A13" t="s">
        <v>571</v>
      </c>
    </row>
    <row r="14" spans="1:20" x14ac:dyDescent="0.35">
      <c r="A14" t="s">
        <v>570</v>
      </c>
    </row>
    <row r="15" spans="1:20" x14ac:dyDescent="0.35">
      <c r="A15" t="s">
        <v>572</v>
      </c>
    </row>
    <row r="16" spans="1:20" x14ac:dyDescent="0.35">
      <c r="A16" t="s">
        <v>573</v>
      </c>
    </row>
    <row r="17" spans="1:16" x14ac:dyDescent="0.35">
      <c r="A17" t="s">
        <v>574</v>
      </c>
    </row>
    <row r="18" spans="1:16" x14ac:dyDescent="0.35">
      <c r="A18" t="s">
        <v>575</v>
      </c>
    </row>
    <row r="19" spans="1:16" x14ac:dyDescent="0.35">
      <c r="A19" t="s">
        <v>576</v>
      </c>
    </row>
    <row r="20" spans="1:16" x14ac:dyDescent="0.35">
      <c r="A20" t="s">
        <v>577</v>
      </c>
    </row>
    <row r="21" spans="1:16" x14ac:dyDescent="0.35">
      <c r="A21" s="166" t="s">
        <v>578</v>
      </c>
    </row>
    <row r="23" spans="1:16" x14ac:dyDescent="0.35">
      <c r="A23" s="174" t="s">
        <v>579</v>
      </c>
    </row>
    <row r="24" spans="1:16" ht="36.5" customHeight="1" x14ac:dyDescent="0.35">
      <c r="A24" s="178" t="s">
        <v>580</v>
      </c>
      <c r="B24" s="178"/>
      <c r="C24" s="178"/>
      <c r="D24" s="178"/>
      <c r="E24" s="178"/>
      <c r="F24" s="178"/>
      <c r="G24" s="178"/>
      <c r="H24" s="178"/>
      <c r="I24" s="178"/>
      <c r="J24" s="178"/>
      <c r="K24" s="178"/>
      <c r="L24" s="178"/>
      <c r="M24" s="178"/>
      <c r="N24" s="178"/>
      <c r="O24" s="178"/>
      <c r="P24" s="178"/>
    </row>
    <row r="26" spans="1:16" x14ac:dyDescent="0.35">
      <c r="A26" s="174" t="s">
        <v>581</v>
      </c>
    </row>
    <row r="27" spans="1:16" x14ac:dyDescent="0.35">
      <c r="A27" t="s">
        <v>582</v>
      </c>
    </row>
    <row r="29" spans="1:16" x14ac:dyDescent="0.35">
      <c r="A29" s="174" t="s">
        <v>583</v>
      </c>
    </row>
    <row r="30" spans="1:16" x14ac:dyDescent="0.35">
      <c r="A30" t="s">
        <v>584</v>
      </c>
    </row>
    <row r="32" spans="1:16" x14ac:dyDescent="0.35">
      <c r="A32" s="174" t="s">
        <v>585</v>
      </c>
    </row>
    <row r="33" spans="1:1" x14ac:dyDescent="0.35">
      <c r="A33" t="s">
        <v>586</v>
      </c>
    </row>
    <row r="35" spans="1:1" x14ac:dyDescent="0.35">
      <c r="A35" s="174" t="s">
        <v>587</v>
      </c>
    </row>
    <row r="36" spans="1:1" x14ac:dyDescent="0.35">
      <c r="A36" t="s">
        <v>588</v>
      </c>
    </row>
    <row r="38" spans="1:1" x14ac:dyDescent="0.35">
      <c r="A38" s="174" t="s">
        <v>389</v>
      </c>
    </row>
    <row r="39" spans="1:1" x14ac:dyDescent="0.35">
      <c r="A39" t="s">
        <v>589</v>
      </c>
    </row>
    <row r="41" spans="1:1" x14ac:dyDescent="0.35">
      <c r="A41" s="174" t="s">
        <v>590</v>
      </c>
    </row>
    <row r="42" spans="1:1" x14ac:dyDescent="0.35">
      <c r="A42" t="s">
        <v>591</v>
      </c>
    </row>
    <row r="44" spans="1:1" x14ac:dyDescent="0.35">
      <c r="A44" s="174" t="s">
        <v>592</v>
      </c>
    </row>
    <row r="45" spans="1:1" x14ac:dyDescent="0.35">
      <c r="A45" t="s">
        <v>593</v>
      </c>
    </row>
  </sheetData>
  <mergeCells count="2">
    <mergeCell ref="A1:T5"/>
    <mergeCell ref="A24:P24"/>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13FB1-46B2-43F7-B491-F3546252702A}">
  <dimension ref="A1:G8"/>
  <sheetViews>
    <sheetView workbookViewId="0">
      <selection activeCell="C13" sqref="C13"/>
    </sheetView>
  </sheetViews>
  <sheetFormatPr defaultRowHeight="14.5" x14ac:dyDescent="0.35"/>
  <cols>
    <col min="1" max="1" width="27.90625" customWidth="1"/>
    <col min="2" max="2" width="9.81640625" bestFit="1" customWidth="1"/>
    <col min="5" max="5" width="26.54296875" bestFit="1" customWidth="1"/>
  </cols>
  <sheetData>
    <row r="1" spans="1:7" x14ac:dyDescent="0.35">
      <c r="A1" t="s">
        <v>486</v>
      </c>
    </row>
    <row r="2" spans="1:7" x14ac:dyDescent="0.35">
      <c r="B2" s="2" t="s">
        <v>338</v>
      </c>
      <c r="C2" s="2" t="s">
        <v>342</v>
      </c>
    </row>
    <row r="3" spans="1:7" x14ac:dyDescent="0.35">
      <c r="A3" t="s">
        <v>341</v>
      </c>
      <c r="B3">
        <f>Inputs!B24</f>
        <v>1280000</v>
      </c>
      <c r="C3" s="1">
        <f>Inputs!C24</f>
        <v>1280000</v>
      </c>
      <c r="G3" s="1"/>
    </row>
    <row r="4" spans="1:7" x14ac:dyDescent="0.35">
      <c r="A4" t="s">
        <v>343</v>
      </c>
      <c r="B4">
        <v>142.4</v>
      </c>
      <c r="C4">
        <v>142.4</v>
      </c>
    </row>
    <row r="5" spans="1:7" x14ac:dyDescent="0.35">
      <c r="A5" t="s">
        <v>344</v>
      </c>
      <c r="B5">
        <f>B3*B4</f>
        <v>182272000</v>
      </c>
      <c r="C5">
        <f>C3*C4</f>
        <v>182272000</v>
      </c>
    </row>
    <row r="6" spans="1:7" x14ac:dyDescent="0.35">
      <c r="A6" t="s">
        <v>345</v>
      </c>
      <c r="B6">
        <f>B5/1000*0.000001</f>
        <v>0.18227199999999999</v>
      </c>
      <c r="C6">
        <f>C5/1000*0.000001</f>
        <v>0.18227199999999999</v>
      </c>
    </row>
    <row r="7" spans="1:7" ht="15" thickBot="1" x14ac:dyDescent="0.4">
      <c r="A7" t="s">
        <v>301</v>
      </c>
      <c r="B7">
        <v>25</v>
      </c>
      <c r="C7">
        <v>25</v>
      </c>
    </row>
    <row r="8" spans="1:7" ht="15" thickBot="1" x14ac:dyDescent="0.4">
      <c r="A8" s="156" t="s">
        <v>346</v>
      </c>
      <c r="B8" s="157">
        <f>B6*B7</f>
        <v>4.5568</v>
      </c>
      <c r="C8" s="158">
        <f>C6*C7</f>
        <v>4.5568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D1513-9A01-41AF-BDA9-44CFE5AC4EDA}">
  <dimension ref="A1:I145"/>
  <sheetViews>
    <sheetView tabSelected="1" zoomScale="80" zoomScaleNormal="80" workbookViewId="0">
      <selection activeCell="E29" sqref="E29"/>
    </sheetView>
  </sheetViews>
  <sheetFormatPr defaultColWidth="8.81640625" defaultRowHeight="14.5" x14ac:dyDescent="0.35"/>
  <cols>
    <col min="1" max="1" width="49" customWidth="1"/>
    <col min="2" max="2" width="42.08984375" customWidth="1"/>
    <col min="3" max="3" width="33.7265625" bestFit="1" customWidth="1"/>
    <col min="4" max="4" width="23.453125" customWidth="1"/>
    <col min="5" max="5" width="19.6328125" customWidth="1"/>
    <col min="6" max="6" width="33.7265625" customWidth="1"/>
    <col min="8" max="8" width="28.54296875" bestFit="1" customWidth="1"/>
    <col min="9" max="9" width="33.81640625" bestFit="1" customWidth="1"/>
    <col min="10" max="10" width="21.7265625" customWidth="1"/>
    <col min="11" max="11" width="18.453125" customWidth="1"/>
  </cols>
  <sheetData>
    <row r="1" spans="1:9" x14ac:dyDescent="0.35">
      <c r="A1" s="167"/>
      <c r="B1" s="168" t="s">
        <v>554</v>
      </c>
    </row>
    <row r="2" spans="1:9" ht="15" thickBot="1" x14ac:dyDescent="0.4">
      <c r="A2" s="169" t="s">
        <v>477</v>
      </c>
      <c r="B2" s="170">
        <v>19.100000000000001</v>
      </c>
    </row>
    <row r="4" spans="1:9" ht="15" thickBot="1" x14ac:dyDescent="0.4"/>
    <row r="5" spans="1:9" x14ac:dyDescent="0.35">
      <c r="A5" s="43" t="s">
        <v>97</v>
      </c>
      <c r="B5" s="44"/>
      <c r="C5" s="42" t="s">
        <v>484</v>
      </c>
      <c r="D5" s="5"/>
      <c r="F5" s="10" t="s">
        <v>555</v>
      </c>
      <c r="G5" s="11" t="s">
        <v>1</v>
      </c>
      <c r="H5" s="11" t="s">
        <v>2</v>
      </c>
      <c r="I5" s="12" t="s">
        <v>98</v>
      </c>
    </row>
    <row r="6" spans="1:9" x14ac:dyDescent="0.35">
      <c r="A6" s="38"/>
      <c r="B6" s="45" t="s">
        <v>553</v>
      </c>
      <c r="C6" s="40" t="s">
        <v>195</v>
      </c>
      <c r="D6" s="83">
        <f>G8</f>
        <v>8759841</v>
      </c>
      <c r="F6" s="13" t="s">
        <v>0</v>
      </c>
      <c r="G6" s="171">
        <v>13784678</v>
      </c>
      <c r="H6" s="171" t="s">
        <v>216</v>
      </c>
      <c r="I6" s="14"/>
    </row>
    <row r="7" spans="1:9" x14ac:dyDescent="0.35">
      <c r="A7" s="38" t="s">
        <v>452</v>
      </c>
      <c r="B7" s="69">
        <v>2273982.5421157279</v>
      </c>
      <c r="C7" s="40" t="s">
        <v>449</v>
      </c>
      <c r="D7" s="83">
        <f>(G20-B9-B10-B11-B13-B14-B15)</f>
        <v>2273982.5421157279</v>
      </c>
      <c r="F7" s="13" t="s">
        <v>3</v>
      </c>
      <c r="G7" s="171">
        <f>G6/58521</f>
        <v>235.55096461099436</v>
      </c>
      <c r="H7" s="171" t="s">
        <v>216</v>
      </c>
      <c r="I7" s="14"/>
    </row>
    <row r="8" spans="1:9" x14ac:dyDescent="0.35">
      <c r="A8" s="38" t="s">
        <v>453</v>
      </c>
      <c r="B8" s="69">
        <v>620904.54211572791</v>
      </c>
      <c r="C8" s="40" t="s">
        <v>448</v>
      </c>
      <c r="D8" s="83">
        <f>(G8-G21-G14-B9-B10-B11-B13-B14-B15)</f>
        <v>620904.54211572791</v>
      </c>
      <c r="F8" s="13" t="s">
        <v>349</v>
      </c>
      <c r="G8" s="171">
        <v>8759841</v>
      </c>
      <c r="H8" s="171" t="s">
        <v>216</v>
      </c>
      <c r="I8" s="14"/>
    </row>
    <row r="9" spans="1:9" x14ac:dyDescent="0.35">
      <c r="A9" s="38" t="s">
        <v>454</v>
      </c>
      <c r="B9" s="69">
        <v>199999.99999999997</v>
      </c>
      <c r="C9" s="40" t="s">
        <v>450</v>
      </c>
      <c r="D9" s="83">
        <f>(G13+G15+G16)</f>
        <v>5997633</v>
      </c>
      <c r="F9" s="13" t="s">
        <v>4</v>
      </c>
      <c r="G9" s="171">
        <v>1119212</v>
      </c>
      <c r="H9" s="171" t="s">
        <v>216</v>
      </c>
      <c r="I9" s="14"/>
    </row>
    <row r="10" spans="1:9" x14ac:dyDescent="0.35">
      <c r="A10" s="38" t="s">
        <v>455</v>
      </c>
      <c r="B10" s="69">
        <v>1541315.9821641599</v>
      </c>
      <c r="C10" s="40" t="s">
        <v>450</v>
      </c>
      <c r="D10" s="83">
        <f>(G13+G15+G16)</f>
        <v>5997633</v>
      </c>
      <c r="F10" s="13" t="s">
        <v>252</v>
      </c>
      <c r="G10" s="171">
        <v>60</v>
      </c>
      <c r="H10" s="171" t="s">
        <v>447</v>
      </c>
      <c r="I10" s="14"/>
    </row>
    <row r="11" spans="1:9" x14ac:dyDescent="0.35">
      <c r="A11" s="38" t="s">
        <v>456</v>
      </c>
      <c r="B11" s="69">
        <v>390000</v>
      </c>
      <c r="C11" s="40" t="s">
        <v>450</v>
      </c>
      <c r="D11" s="83">
        <f>(G13+G15+G16)</f>
        <v>5997633</v>
      </c>
      <c r="F11" s="13" t="s">
        <v>5</v>
      </c>
      <c r="G11" s="171">
        <v>2297505</v>
      </c>
      <c r="H11" s="171" t="s">
        <v>216</v>
      </c>
      <c r="I11" s="14" t="s">
        <v>217</v>
      </c>
    </row>
    <row r="12" spans="1:9" x14ac:dyDescent="0.35">
      <c r="A12" s="38" t="s">
        <v>457</v>
      </c>
      <c r="B12" s="69">
        <v>564000</v>
      </c>
      <c r="C12" s="40" t="s">
        <v>451</v>
      </c>
      <c r="D12" s="83">
        <f>G9</f>
        <v>1119212</v>
      </c>
      <c r="F12" s="13" t="s">
        <v>6</v>
      </c>
      <c r="G12" s="171">
        <f>G6-SUM(G8:G11)</f>
        <v>1608060</v>
      </c>
      <c r="H12" s="171" t="s">
        <v>216</v>
      </c>
      <c r="I12" s="14"/>
    </row>
    <row r="13" spans="1:9" x14ac:dyDescent="0.35">
      <c r="A13" s="38" t="s">
        <v>565</v>
      </c>
      <c r="B13" s="69">
        <v>778416.47572011221</v>
      </c>
      <c r="C13" s="40" t="s">
        <v>195</v>
      </c>
      <c r="D13" s="83">
        <f>G8</f>
        <v>8759841</v>
      </c>
      <c r="F13" s="13" t="s">
        <v>7</v>
      </c>
      <c r="G13" s="171">
        <v>3065380</v>
      </c>
      <c r="H13" s="171" t="s">
        <v>216</v>
      </c>
      <c r="I13" s="14"/>
    </row>
    <row r="14" spans="1:9" x14ac:dyDescent="0.35">
      <c r="A14" s="38" t="s">
        <v>458</v>
      </c>
      <c r="B14" s="69">
        <v>438000</v>
      </c>
      <c r="C14" s="40" t="s">
        <v>195</v>
      </c>
      <c r="D14" s="83">
        <f>G8</f>
        <v>8759841</v>
      </c>
      <c r="F14" s="13" t="s">
        <v>8</v>
      </c>
      <c r="G14" s="171">
        <v>2122850</v>
      </c>
      <c r="H14" s="171" t="s">
        <v>216</v>
      </c>
      <c r="I14" s="14"/>
    </row>
    <row r="15" spans="1:9" x14ac:dyDescent="0.35">
      <c r="A15" s="38" t="s">
        <v>459</v>
      </c>
      <c r="B15" s="69">
        <v>261350</v>
      </c>
      <c r="C15" s="40"/>
      <c r="D15" s="83"/>
      <c r="F15" s="13" t="s">
        <v>9</v>
      </c>
      <c r="G15" s="171">
        <v>2144830</v>
      </c>
      <c r="H15" s="171" t="s">
        <v>216</v>
      </c>
      <c r="I15" s="14"/>
    </row>
    <row r="16" spans="1:9" x14ac:dyDescent="0.35">
      <c r="A16" s="38" t="s">
        <v>348</v>
      </c>
      <c r="B16" s="69">
        <v>671527.2</v>
      </c>
      <c r="C16" s="40" t="s">
        <v>451</v>
      </c>
      <c r="D16" s="83">
        <f>G9*(G10/100)</f>
        <v>671527.2</v>
      </c>
      <c r="F16" s="13" t="s">
        <v>10</v>
      </c>
      <c r="G16" s="171">
        <v>787423</v>
      </c>
      <c r="H16" s="171" t="s">
        <v>216</v>
      </c>
      <c r="I16" s="14"/>
    </row>
    <row r="17" spans="1:9" x14ac:dyDescent="0.35">
      <c r="A17" s="38" t="s">
        <v>475</v>
      </c>
      <c r="B17" s="46">
        <v>8759841</v>
      </c>
      <c r="C17" s="40" t="s">
        <v>195</v>
      </c>
      <c r="D17" s="83">
        <f>G8</f>
        <v>8759841</v>
      </c>
      <c r="F17" s="13" t="s">
        <v>11</v>
      </c>
      <c r="G17" s="171">
        <v>234179</v>
      </c>
      <c r="H17" s="171" t="s">
        <v>216</v>
      </c>
      <c r="I17" s="14"/>
    </row>
    <row r="18" spans="1:9" x14ac:dyDescent="0.35">
      <c r="A18" s="38" t="s">
        <v>512</v>
      </c>
      <c r="B18" s="46">
        <v>320603.092</v>
      </c>
      <c r="C18" s="40"/>
      <c r="D18" s="83"/>
      <c r="F18" s="13"/>
      <c r="G18" s="171"/>
      <c r="H18" s="171"/>
      <c r="I18" s="14"/>
    </row>
    <row r="19" spans="1:9" ht="15" thickBot="1" x14ac:dyDescent="0.4">
      <c r="A19" s="39" t="s">
        <v>84</v>
      </c>
      <c r="B19" s="47">
        <v>20</v>
      </c>
      <c r="C19" s="41"/>
      <c r="D19" s="6"/>
      <c r="F19" s="13" t="s">
        <v>96</v>
      </c>
      <c r="G19" s="171">
        <v>753926</v>
      </c>
      <c r="H19" s="171" t="s">
        <v>216</v>
      </c>
      <c r="I19" s="14"/>
    </row>
    <row r="20" spans="1:9" x14ac:dyDescent="0.35">
      <c r="A20" s="81"/>
      <c r="B20" s="82"/>
      <c r="C20" s="81"/>
      <c r="D20" s="81"/>
      <c r="F20" s="13" t="s">
        <v>215</v>
      </c>
      <c r="G20" s="171">
        <f>G8-G19-G14</f>
        <v>5883065</v>
      </c>
      <c r="H20" s="171" t="s">
        <v>216</v>
      </c>
      <c r="I20" s="14" t="s">
        <v>218</v>
      </c>
    </row>
    <row r="21" spans="1:9" x14ac:dyDescent="0.35">
      <c r="A21" s="81"/>
      <c r="B21" s="82"/>
      <c r="C21" s="81"/>
      <c r="D21" s="81"/>
      <c r="F21" s="13" t="s">
        <v>12</v>
      </c>
      <c r="G21" s="171">
        <v>2407004</v>
      </c>
      <c r="H21" s="171" t="s">
        <v>216</v>
      </c>
      <c r="I21" s="14"/>
    </row>
    <row r="22" spans="1:9" ht="15" thickBot="1" x14ac:dyDescent="0.4">
      <c r="F22" s="13" t="s">
        <v>13</v>
      </c>
      <c r="G22" s="171">
        <v>2691195</v>
      </c>
      <c r="H22" s="171" t="s">
        <v>216</v>
      </c>
      <c r="I22" s="14"/>
    </row>
    <row r="23" spans="1:9" x14ac:dyDescent="0.35">
      <c r="A23" s="84"/>
      <c r="B23" s="182" t="s">
        <v>338</v>
      </c>
      <c r="C23" s="179" t="s">
        <v>567</v>
      </c>
      <c r="F23" s="13" t="s">
        <v>14</v>
      </c>
      <c r="G23" s="171">
        <v>1952797</v>
      </c>
      <c r="H23" s="171" t="s">
        <v>216</v>
      </c>
      <c r="I23" s="14"/>
    </row>
    <row r="24" spans="1:9" x14ac:dyDescent="0.35">
      <c r="A24" s="85" t="s">
        <v>285</v>
      </c>
      <c r="B24" s="183">
        <v>1280000</v>
      </c>
      <c r="C24" s="180">
        <f>B24</f>
        <v>1280000</v>
      </c>
      <c r="F24" s="13" t="s">
        <v>56</v>
      </c>
      <c r="G24" s="171">
        <f>315183/G8</f>
        <v>3.598044759031585E-2</v>
      </c>
      <c r="H24" s="171" t="s">
        <v>50</v>
      </c>
      <c r="I24" s="14" t="s">
        <v>51</v>
      </c>
    </row>
    <row r="25" spans="1:9" x14ac:dyDescent="0.35">
      <c r="A25" s="175" t="s">
        <v>16</v>
      </c>
      <c r="B25" s="184" t="s">
        <v>339</v>
      </c>
      <c r="C25" s="181" t="s">
        <v>485</v>
      </c>
      <c r="F25" s="13" t="s">
        <v>56</v>
      </c>
      <c r="G25" s="171">
        <f>331801/G8</f>
        <v>3.7877513986840632E-2</v>
      </c>
      <c r="H25" s="171" t="s">
        <v>52</v>
      </c>
      <c r="I25" s="14" t="s">
        <v>53</v>
      </c>
    </row>
    <row r="26" spans="1:9" x14ac:dyDescent="0.35">
      <c r="A26" s="85" t="s">
        <v>278</v>
      </c>
      <c r="B26" s="183">
        <v>5.9</v>
      </c>
      <c r="C26" s="134">
        <v>21</v>
      </c>
      <c r="F26" s="13" t="s">
        <v>56</v>
      </c>
      <c r="G26" s="171">
        <f>342687/G8</f>
        <v>3.9120230606925398E-2</v>
      </c>
      <c r="H26" s="171" t="s">
        <v>54</v>
      </c>
      <c r="I26" s="14" t="s">
        <v>55</v>
      </c>
    </row>
    <row r="27" spans="1:9" ht="15" thickBot="1" x14ac:dyDescent="0.4">
      <c r="A27" s="85" t="s">
        <v>269</v>
      </c>
      <c r="B27" s="183">
        <v>5.4</v>
      </c>
      <c r="C27" s="134">
        <v>5.4</v>
      </c>
      <c r="F27" s="15" t="s">
        <v>556</v>
      </c>
      <c r="G27" s="16">
        <v>320603.092</v>
      </c>
      <c r="H27" s="16" t="s">
        <v>595</v>
      </c>
      <c r="I27" s="217"/>
    </row>
    <row r="28" spans="1:9" x14ac:dyDescent="0.35">
      <c r="A28" s="85" t="s">
        <v>271</v>
      </c>
      <c r="B28" s="183">
        <v>14.9</v>
      </c>
      <c r="C28" s="134">
        <v>14.9</v>
      </c>
    </row>
    <row r="29" spans="1:9" x14ac:dyDescent="0.35">
      <c r="A29" s="85" t="s">
        <v>270</v>
      </c>
      <c r="B29" s="183">
        <v>24.2</v>
      </c>
      <c r="C29" s="134">
        <v>24.2</v>
      </c>
    </row>
    <row r="30" spans="1:9" ht="15" thickBot="1" x14ac:dyDescent="0.4">
      <c r="A30" s="85" t="s">
        <v>283</v>
      </c>
      <c r="B30" s="183">
        <v>0</v>
      </c>
      <c r="C30" s="135">
        <v>0.6</v>
      </c>
    </row>
    <row r="31" spans="1:9" x14ac:dyDescent="0.35">
      <c r="A31" s="85" t="s">
        <v>267</v>
      </c>
      <c r="B31" s="183">
        <v>23.7</v>
      </c>
      <c r="C31" s="87">
        <v>11.9</v>
      </c>
    </row>
    <row r="32" spans="1:9" x14ac:dyDescent="0.35">
      <c r="A32" s="85" t="s">
        <v>272</v>
      </c>
      <c r="B32" s="183">
        <v>22.7</v>
      </c>
      <c r="C32" s="87">
        <v>18.8</v>
      </c>
    </row>
    <row r="33" spans="1:9" ht="15" thickBot="1" x14ac:dyDescent="0.4">
      <c r="A33" s="86" t="s">
        <v>284</v>
      </c>
      <c r="B33" s="185">
        <v>3.2</v>
      </c>
      <c r="C33" s="88">
        <v>3.2</v>
      </c>
      <c r="D33" s="2"/>
      <c r="E33" s="2"/>
      <c r="F33" s="2"/>
    </row>
    <row r="35" spans="1:9" ht="15" thickBot="1" x14ac:dyDescent="0.4">
      <c r="F35" s="2"/>
      <c r="G35" s="2"/>
    </row>
    <row r="36" spans="1:9" x14ac:dyDescent="0.35">
      <c r="A36" s="204" t="s">
        <v>16</v>
      </c>
      <c r="B36" s="205" t="s">
        <v>41</v>
      </c>
      <c r="C36" s="205" t="s">
        <v>473</v>
      </c>
      <c r="D36" s="205" t="s">
        <v>474</v>
      </c>
      <c r="E36" s="206" t="s">
        <v>2</v>
      </c>
      <c r="F36" s="207" t="s">
        <v>98</v>
      </c>
      <c r="G36" s="34"/>
      <c r="H36" s="8"/>
      <c r="I36" s="8"/>
    </row>
    <row r="37" spans="1:9" x14ac:dyDescent="0.35">
      <c r="A37" s="7" t="s">
        <v>15</v>
      </c>
      <c r="B37" s="186">
        <v>0.77</v>
      </c>
      <c r="C37" s="186"/>
      <c r="D37" s="186"/>
      <c r="E37" s="8" t="s">
        <v>17</v>
      </c>
      <c r="F37" s="9" t="s">
        <v>183</v>
      </c>
      <c r="G37" s="8"/>
      <c r="H37" s="8"/>
      <c r="I37" s="8"/>
    </row>
    <row r="38" spans="1:9" x14ac:dyDescent="0.35">
      <c r="A38" s="7" t="s">
        <v>15</v>
      </c>
      <c r="B38" s="186">
        <v>1.97</v>
      </c>
      <c r="C38" s="186"/>
      <c r="D38" s="186"/>
      <c r="E38" s="8" t="s">
        <v>18</v>
      </c>
      <c r="F38" s="9" t="s">
        <v>116</v>
      </c>
      <c r="G38" s="8"/>
      <c r="H38" s="8"/>
      <c r="I38" s="8"/>
    </row>
    <row r="39" spans="1:9" x14ac:dyDescent="0.35">
      <c r="A39" s="7" t="s">
        <v>15</v>
      </c>
      <c r="B39" s="186">
        <v>1.17</v>
      </c>
      <c r="C39" s="186"/>
      <c r="D39" s="186"/>
      <c r="E39" s="8" t="s">
        <v>19</v>
      </c>
      <c r="F39" s="9" t="s">
        <v>117</v>
      </c>
      <c r="G39" s="8"/>
      <c r="H39" s="8"/>
      <c r="I39" s="8"/>
    </row>
    <row r="40" spans="1:9" x14ac:dyDescent="0.35">
      <c r="A40" s="7" t="s">
        <v>15</v>
      </c>
      <c r="B40" s="186">
        <v>0.76</v>
      </c>
      <c r="C40" s="186"/>
      <c r="D40" s="186"/>
      <c r="E40" s="8" t="s">
        <v>20</v>
      </c>
      <c r="F40" s="9" t="s">
        <v>116</v>
      </c>
      <c r="G40" s="8"/>
      <c r="H40" s="8"/>
      <c r="I40" s="8"/>
    </row>
    <row r="41" spans="1:9" x14ac:dyDescent="0.35">
      <c r="A41" s="7" t="s">
        <v>15</v>
      </c>
      <c r="B41" s="186">
        <v>2.0499999999999998</v>
      </c>
      <c r="C41" s="186"/>
      <c r="D41" s="186"/>
      <c r="E41" s="8" t="s">
        <v>21</v>
      </c>
      <c r="F41" s="9" t="s">
        <v>116</v>
      </c>
      <c r="G41" s="8"/>
      <c r="H41" s="8"/>
      <c r="I41" s="8"/>
    </row>
    <row r="42" spans="1:9" x14ac:dyDescent="0.35">
      <c r="A42" s="7" t="s">
        <v>15</v>
      </c>
      <c r="B42" s="186">
        <v>0.62</v>
      </c>
      <c r="C42" s="186"/>
      <c r="D42" s="186"/>
      <c r="E42" s="8" t="s">
        <v>22</v>
      </c>
      <c r="F42" s="9" t="s">
        <v>23</v>
      </c>
      <c r="G42" s="8"/>
      <c r="H42" s="8"/>
      <c r="I42" s="8"/>
    </row>
    <row r="43" spans="1:9" x14ac:dyDescent="0.35">
      <c r="A43" s="7" t="s">
        <v>15</v>
      </c>
      <c r="B43" s="186">
        <v>0.32</v>
      </c>
      <c r="C43" s="186"/>
      <c r="D43" s="186"/>
      <c r="E43" s="8" t="s">
        <v>22</v>
      </c>
      <c r="F43" s="9" t="s">
        <v>24</v>
      </c>
      <c r="G43" s="8"/>
      <c r="H43" s="8"/>
      <c r="I43" s="8"/>
    </row>
    <row r="44" spans="1:9" x14ac:dyDescent="0.35">
      <c r="A44" s="7" t="s">
        <v>15</v>
      </c>
      <c r="B44" s="186">
        <v>0.44</v>
      </c>
      <c r="C44" s="186"/>
      <c r="D44" s="186">
        <v>1</v>
      </c>
      <c r="E44" s="8" t="s">
        <v>100</v>
      </c>
      <c r="F44" s="9" t="s">
        <v>115</v>
      </c>
      <c r="G44" s="8"/>
      <c r="H44" s="8"/>
      <c r="I44" s="8"/>
    </row>
    <row r="45" spans="1:9" x14ac:dyDescent="0.35">
      <c r="A45" s="7" t="s">
        <v>15</v>
      </c>
      <c r="B45" s="186">
        <v>1.03</v>
      </c>
      <c r="C45" s="186"/>
      <c r="D45" s="186"/>
      <c r="E45" s="8" t="s">
        <v>223</v>
      </c>
      <c r="F45" s="9" t="s">
        <v>224</v>
      </c>
      <c r="G45" s="8"/>
      <c r="H45" s="8"/>
      <c r="I45" s="8"/>
    </row>
    <row r="46" spans="1:9" x14ac:dyDescent="0.35">
      <c r="A46" s="7" t="s">
        <v>15</v>
      </c>
      <c r="B46" s="186">
        <v>0</v>
      </c>
      <c r="C46" s="186">
        <v>1</v>
      </c>
      <c r="D46" s="186"/>
      <c r="E46" s="8" t="s">
        <v>221</v>
      </c>
      <c r="F46" s="9" t="s">
        <v>222</v>
      </c>
      <c r="G46" s="8"/>
      <c r="H46" s="8"/>
      <c r="I46" s="8"/>
    </row>
    <row r="47" spans="1:9" x14ac:dyDescent="0.35">
      <c r="A47" s="71" t="s">
        <v>15</v>
      </c>
      <c r="B47" s="187">
        <v>0</v>
      </c>
      <c r="C47" s="187"/>
      <c r="D47" s="187"/>
      <c r="E47" s="72" t="s">
        <v>469</v>
      </c>
      <c r="F47" s="73"/>
      <c r="G47" s="8"/>
      <c r="H47" s="8"/>
      <c r="I47" s="8"/>
    </row>
    <row r="48" spans="1:9" x14ac:dyDescent="0.35">
      <c r="A48" s="7" t="s">
        <v>25</v>
      </c>
      <c r="B48" s="186">
        <v>0.83</v>
      </c>
      <c r="C48" s="186"/>
      <c r="D48" s="186"/>
      <c r="E48" s="8" t="s">
        <v>26</v>
      </c>
      <c r="F48" s="9" t="s">
        <v>118</v>
      </c>
      <c r="G48" s="8"/>
      <c r="H48" s="8"/>
      <c r="I48" s="8"/>
    </row>
    <row r="49" spans="1:9" x14ac:dyDescent="0.35">
      <c r="A49" s="7" t="s">
        <v>25</v>
      </c>
      <c r="B49" s="186">
        <v>0</v>
      </c>
      <c r="C49" s="186"/>
      <c r="D49" s="186"/>
      <c r="E49" s="8" t="s">
        <v>142</v>
      </c>
      <c r="F49" s="9" t="s">
        <v>119</v>
      </c>
      <c r="G49" s="8"/>
      <c r="H49" s="8"/>
      <c r="I49" s="8"/>
    </row>
    <row r="50" spans="1:9" x14ac:dyDescent="0.35">
      <c r="A50" s="7" t="s">
        <v>25</v>
      </c>
      <c r="B50" s="186">
        <v>0</v>
      </c>
      <c r="C50" s="186"/>
      <c r="D50" s="186"/>
      <c r="E50" s="8" t="s">
        <v>27</v>
      </c>
      <c r="F50" s="9" t="s">
        <v>120</v>
      </c>
      <c r="G50" s="8"/>
      <c r="H50" s="8"/>
      <c r="I50" s="8"/>
    </row>
    <row r="51" spans="1:9" x14ac:dyDescent="0.35">
      <c r="A51" s="7" t="s">
        <v>25</v>
      </c>
      <c r="B51" s="186">
        <v>0.99</v>
      </c>
      <c r="C51" s="186"/>
      <c r="D51" s="186"/>
      <c r="E51" s="8" t="s">
        <v>28</v>
      </c>
      <c r="F51" s="9" t="s">
        <v>219</v>
      </c>
      <c r="G51" s="8"/>
      <c r="H51" s="8"/>
      <c r="I51" s="8"/>
    </row>
    <row r="52" spans="1:9" x14ac:dyDescent="0.35">
      <c r="A52" s="7" t="s">
        <v>25</v>
      </c>
      <c r="B52" s="186">
        <v>0</v>
      </c>
      <c r="C52" s="186"/>
      <c r="D52" s="186"/>
      <c r="E52" s="8" t="s">
        <v>29</v>
      </c>
      <c r="F52" s="9" t="s">
        <v>120</v>
      </c>
      <c r="G52" s="8"/>
      <c r="H52" s="8"/>
      <c r="I52" s="8"/>
    </row>
    <row r="53" spans="1:9" x14ac:dyDescent="0.35">
      <c r="A53" s="7" t="s">
        <v>25</v>
      </c>
      <c r="B53" s="186">
        <v>0</v>
      </c>
      <c r="C53" s="186"/>
      <c r="D53" s="186"/>
      <c r="E53" s="8" t="s">
        <v>30</v>
      </c>
      <c r="F53" s="9" t="s">
        <v>121</v>
      </c>
      <c r="G53" s="8"/>
      <c r="H53" s="8"/>
      <c r="I53" s="8"/>
    </row>
    <row r="54" spans="1:9" x14ac:dyDescent="0.35">
      <c r="A54" s="7" t="s">
        <v>25</v>
      </c>
      <c r="B54" s="186">
        <v>1.01</v>
      </c>
      <c r="C54" s="186"/>
      <c r="D54" s="186"/>
      <c r="E54" s="8" t="s">
        <v>22</v>
      </c>
      <c r="F54" s="9" t="s">
        <v>31</v>
      </c>
      <c r="G54" s="8"/>
      <c r="H54" s="8"/>
      <c r="I54" s="8"/>
    </row>
    <row r="55" spans="1:9" x14ac:dyDescent="0.35">
      <c r="A55" s="7" t="s">
        <v>25</v>
      </c>
      <c r="B55" s="186">
        <v>1.29</v>
      </c>
      <c r="C55" s="186"/>
      <c r="D55" s="186"/>
      <c r="E55" s="8" t="s">
        <v>22</v>
      </c>
      <c r="F55" s="9" t="s">
        <v>32</v>
      </c>
      <c r="G55" s="8"/>
      <c r="H55" s="8"/>
      <c r="I55" s="8"/>
    </row>
    <row r="56" spans="1:9" x14ac:dyDescent="0.35">
      <c r="A56" s="7" t="s">
        <v>25</v>
      </c>
      <c r="B56" s="186">
        <v>7.0000000000000007E-2</v>
      </c>
      <c r="C56" s="186"/>
      <c r="D56" s="186">
        <v>1</v>
      </c>
      <c r="E56" s="8" t="s">
        <v>38</v>
      </c>
      <c r="F56" s="9" t="s">
        <v>220</v>
      </c>
      <c r="G56" s="8"/>
      <c r="H56" s="8"/>
      <c r="I56" s="8"/>
    </row>
    <row r="57" spans="1:9" x14ac:dyDescent="0.35">
      <c r="A57" s="7" t="s">
        <v>25</v>
      </c>
      <c r="B57" s="186">
        <v>0</v>
      </c>
      <c r="C57" s="186">
        <v>1</v>
      </c>
      <c r="D57" s="186"/>
      <c r="E57" s="8" t="s">
        <v>221</v>
      </c>
      <c r="F57" s="9" t="s">
        <v>222</v>
      </c>
      <c r="G57" s="8"/>
      <c r="H57" s="8"/>
      <c r="I57" s="8"/>
    </row>
    <row r="58" spans="1:9" x14ac:dyDescent="0.35">
      <c r="A58" s="71" t="s">
        <v>25</v>
      </c>
      <c r="B58" s="187">
        <v>0</v>
      </c>
      <c r="C58" s="187"/>
      <c r="D58" s="187"/>
      <c r="E58" s="72" t="s">
        <v>469</v>
      </c>
      <c r="F58" s="73"/>
      <c r="G58" s="8"/>
      <c r="H58" s="8"/>
      <c r="I58" s="8"/>
    </row>
    <row r="59" spans="1:9" x14ac:dyDescent="0.35">
      <c r="A59" s="7" t="s">
        <v>33</v>
      </c>
      <c r="B59" s="188">
        <v>5.0966666666666658</v>
      </c>
      <c r="C59" s="188"/>
      <c r="D59" s="188"/>
      <c r="E59" s="8" t="s">
        <v>34</v>
      </c>
      <c r="F59" s="9" t="s">
        <v>126</v>
      </c>
      <c r="G59" s="8"/>
      <c r="H59" s="8"/>
      <c r="I59" s="8"/>
    </row>
    <row r="60" spans="1:9" x14ac:dyDescent="0.35">
      <c r="A60" s="7" t="s">
        <v>33</v>
      </c>
      <c r="B60" s="188">
        <v>5.83</v>
      </c>
      <c r="C60" s="190"/>
      <c r="D60" s="190">
        <v>1</v>
      </c>
      <c r="E60" s="8" t="s">
        <v>35</v>
      </c>
      <c r="F60" s="9" t="s">
        <v>124</v>
      </c>
      <c r="G60" s="8"/>
      <c r="H60" s="8"/>
      <c r="I60" s="8"/>
    </row>
    <row r="61" spans="1:9" x14ac:dyDescent="0.35">
      <c r="A61" s="7" t="s">
        <v>33</v>
      </c>
      <c r="B61" s="188">
        <v>22.366666666666664</v>
      </c>
      <c r="C61" s="190"/>
      <c r="D61" s="190"/>
      <c r="E61" s="8" t="s">
        <v>36</v>
      </c>
      <c r="F61" s="9" t="s">
        <v>127</v>
      </c>
      <c r="G61" s="8"/>
      <c r="H61" s="8"/>
      <c r="I61" s="8"/>
    </row>
    <row r="62" spans="1:9" x14ac:dyDescent="0.35">
      <c r="A62" s="7" t="s">
        <v>33</v>
      </c>
      <c r="B62" s="188">
        <v>13.93</v>
      </c>
      <c r="C62" s="190"/>
      <c r="D62" s="190"/>
      <c r="E62" s="8" t="s">
        <v>37</v>
      </c>
      <c r="F62" s="9" t="s">
        <v>131</v>
      </c>
      <c r="G62" s="8"/>
      <c r="H62" s="8"/>
      <c r="I62" s="8"/>
    </row>
    <row r="63" spans="1:9" x14ac:dyDescent="0.35">
      <c r="A63" s="7" t="s">
        <v>33</v>
      </c>
      <c r="B63" s="188">
        <v>3.043333333333333</v>
      </c>
      <c r="C63" s="190">
        <v>1</v>
      </c>
      <c r="D63" s="190"/>
      <c r="E63" s="8" t="s">
        <v>38</v>
      </c>
      <c r="F63" s="9" t="s">
        <v>129</v>
      </c>
      <c r="G63" s="8"/>
      <c r="H63" s="8"/>
      <c r="I63" s="8"/>
    </row>
    <row r="64" spans="1:9" x14ac:dyDescent="0.35">
      <c r="A64" s="71" t="s">
        <v>33</v>
      </c>
      <c r="B64" s="189">
        <v>0</v>
      </c>
      <c r="C64" s="191"/>
      <c r="D64" s="191"/>
      <c r="E64" s="72" t="s">
        <v>469</v>
      </c>
      <c r="F64" s="9"/>
      <c r="G64" s="8"/>
      <c r="H64" s="8"/>
      <c r="I64" s="8"/>
    </row>
    <row r="65" spans="1:9" x14ac:dyDescent="0.35">
      <c r="A65" s="7" t="s">
        <v>39</v>
      </c>
      <c r="B65" s="188">
        <v>6.49</v>
      </c>
      <c r="C65" s="188"/>
      <c r="D65" s="188"/>
      <c r="E65" s="8" t="s">
        <v>34</v>
      </c>
      <c r="F65" s="9" t="s">
        <v>126</v>
      </c>
      <c r="G65" s="8"/>
      <c r="H65" s="8"/>
      <c r="I65" s="8"/>
    </row>
    <row r="66" spans="1:9" x14ac:dyDescent="0.35">
      <c r="A66" s="7" t="s">
        <v>39</v>
      </c>
      <c r="B66" s="188">
        <v>4.1066666666666665</v>
      </c>
      <c r="C66" s="188"/>
      <c r="D66" s="188"/>
      <c r="E66" s="8" t="s">
        <v>35</v>
      </c>
      <c r="F66" s="9" t="s">
        <v>123</v>
      </c>
      <c r="G66" s="8"/>
      <c r="H66" s="8"/>
      <c r="I66" s="8"/>
    </row>
    <row r="67" spans="1:9" x14ac:dyDescent="0.35">
      <c r="A67" s="7" t="s">
        <v>39</v>
      </c>
      <c r="B67" s="188">
        <v>3.52</v>
      </c>
      <c r="C67" s="190">
        <v>1</v>
      </c>
      <c r="D67" s="190"/>
      <c r="E67" s="8" t="s">
        <v>36</v>
      </c>
      <c r="F67" s="9" t="s">
        <v>128</v>
      </c>
      <c r="G67" s="8"/>
      <c r="H67" s="8"/>
      <c r="I67" s="8"/>
    </row>
    <row r="68" spans="1:9" x14ac:dyDescent="0.35">
      <c r="A68" s="7" t="s">
        <v>39</v>
      </c>
      <c r="B68" s="188">
        <v>5.1333333333333329</v>
      </c>
      <c r="C68" s="190"/>
      <c r="D68" s="190"/>
      <c r="E68" s="8" t="s">
        <v>37</v>
      </c>
      <c r="F68" s="9" t="s">
        <v>131</v>
      </c>
      <c r="G68" s="8"/>
      <c r="H68" s="8"/>
      <c r="I68" s="8"/>
    </row>
    <row r="69" spans="1:9" x14ac:dyDescent="0.35">
      <c r="A69" s="7" t="s">
        <v>39</v>
      </c>
      <c r="B69" s="188">
        <v>13.053333333333333</v>
      </c>
      <c r="C69" s="190"/>
      <c r="D69" s="190">
        <v>1</v>
      </c>
      <c r="E69" s="8" t="s">
        <v>47</v>
      </c>
      <c r="F69" s="9" t="s">
        <v>130</v>
      </c>
      <c r="G69" s="8"/>
      <c r="H69" s="8"/>
      <c r="I69" s="8"/>
    </row>
    <row r="70" spans="1:9" x14ac:dyDescent="0.35">
      <c r="A70" s="7" t="s">
        <v>39</v>
      </c>
      <c r="B70" s="188">
        <f>AVERAGE(7.33,14.67)</f>
        <v>11</v>
      </c>
      <c r="C70" s="188"/>
      <c r="D70" s="188"/>
      <c r="E70" s="8" t="s">
        <v>22</v>
      </c>
      <c r="F70" s="9" t="s">
        <v>236</v>
      </c>
      <c r="G70" s="8"/>
      <c r="H70" s="8"/>
      <c r="I70" s="8"/>
    </row>
    <row r="71" spans="1:9" x14ac:dyDescent="0.35">
      <c r="A71" s="71" t="s">
        <v>39</v>
      </c>
      <c r="B71" s="189">
        <v>0</v>
      </c>
      <c r="C71" s="189"/>
      <c r="D71" s="189"/>
      <c r="E71" s="72" t="s">
        <v>469</v>
      </c>
      <c r="F71" s="73"/>
      <c r="G71" s="8"/>
      <c r="H71" s="8"/>
      <c r="I71" s="8"/>
    </row>
    <row r="72" spans="1:9" x14ac:dyDescent="0.35">
      <c r="A72" s="7" t="s">
        <v>40</v>
      </c>
      <c r="B72" s="188">
        <v>3.37</v>
      </c>
      <c r="C72" s="188"/>
      <c r="D72" s="188"/>
      <c r="E72" s="8" t="s">
        <v>34</v>
      </c>
      <c r="F72" s="9" t="s">
        <v>234</v>
      </c>
      <c r="G72" s="8"/>
      <c r="H72" s="8"/>
      <c r="I72" s="8"/>
    </row>
    <row r="73" spans="1:9" x14ac:dyDescent="0.35">
      <c r="A73" s="7" t="s">
        <v>40</v>
      </c>
      <c r="B73" s="188">
        <v>5.83</v>
      </c>
      <c r="C73" s="188"/>
      <c r="D73" s="188"/>
      <c r="E73" s="8" t="s">
        <v>35</v>
      </c>
      <c r="F73" s="9" t="s">
        <v>125</v>
      </c>
      <c r="G73" s="8"/>
      <c r="H73" s="8"/>
      <c r="I73" s="8"/>
    </row>
    <row r="74" spans="1:9" x14ac:dyDescent="0.35">
      <c r="A74" s="7" t="s">
        <v>40</v>
      </c>
      <c r="B74" s="188">
        <v>12.466666666666665</v>
      </c>
      <c r="C74" s="188"/>
      <c r="D74" s="188"/>
      <c r="E74" s="8" t="s">
        <v>36</v>
      </c>
      <c r="F74" s="9" t="s">
        <v>127</v>
      </c>
      <c r="G74" s="8"/>
      <c r="H74" s="8"/>
      <c r="I74" s="8"/>
    </row>
    <row r="75" spans="1:9" x14ac:dyDescent="0.35">
      <c r="A75" s="7" t="s">
        <v>40</v>
      </c>
      <c r="B75" s="188">
        <v>5.3166666666666664</v>
      </c>
      <c r="C75" s="188"/>
      <c r="D75" s="190">
        <v>1</v>
      </c>
      <c r="E75" s="8" t="s">
        <v>47</v>
      </c>
      <c r="F75" s="9" t="s">
        <v>130</v>
      </c>
      <c r="G75" s="8"/>
      <c r="H75" s="8"/>
      <c r="I75" s="8"/>
    </row>
    <row r="76" spans="1:9" x14ac:dyDescent="0.35">
      <c r="A76" s="7" t="s">
        <v>40</v>
      </c>
      <c r="B76" s="186">
        <v>3.19</v>
      </c>
      <c r="C76" s="186">
        <v>1</v>
      </c>
      <c r="D76" s="186"/>
      <c r="E76" s="8" t="s">
        <v>38</v>
      </c>
      <c r="F76" s="9" t="s">
        <v>129</v>
      </c>
      <c r="G76" s="8"/>
      <c r="H76" s="8"/>
      <c r="I76" s="8"/>
    </row>
    <row r="77" spans="1:9" x14ac:dyDescent="0.35">
      <c r="A77" s="7" t="s">
        <v>40</v>
      </c>
      <c r="B77" s="186">
        <v>4.03</v>
      </c>
      <c r="C77" s="186"/>
      <c r="D77" s="186"/>
      <c r="E77" s="8" t="s">
        <v>22</v>
      </c>
      <c r="F77" s="9" t="s">
        <v>235</v>
      </c>
      <c r="G77" s="8"/>
      <c r="H77" s="8"/>
      <c r="I77" s="8"/>
    </row>
    <row r="78" spans="1:9" x14ac:dyDescent="0.35">
      <c r="A78" s="71" t="s">
        <v>40</v>
      </c>
      <c r="B78" s="187">
        <v>0</v>
      </c>
      <c r="C78" s="187"/>
      <c r="D78" s="187"/>
      <c r="E78" s="72" t="s">
        <v>469</v>
      </c>
      <c r="F78" s="73"/>
      <c r="G78" s="8"/>
      <c r="H78" s="8"/>
      <c r="I78" s="8"/>
    </row>
    <row r="79" spans="1:9" x14ac:dyDescent="0.35">
      <c r="A79" s="7" t="s">
        <v>186</v>
      </c>
      <c r="B79" s="186">
        <v>12.94</v>
      </c>
      <c r="C79" s="186"/>
      <c r="D79" s="186"/>
      <c r="E79" s="8" t="s">
        <v>35</v>
      </c>
      <c r="F79" s="9" t="s">
        <v>188</v>
      </c>
      <c r="G79" s="8"/>
      <c r="H79" s="8"/>
      <c r="I79" s="8"/>
    </row>
    <row r="80" spans="1:9" x14ac:dyDescent="0.35">
      <c r="A80" s="7" t="s">
        <v>186</v>
      </c>
      <c r="B80" s="186">
        <v>9.5299999999999994</v>
      </c>
      <c r="C80" s="186"/>
      <c r="D80" s="186"/>
      <c r="E80" s="8" t="s">
        <v>36</v>
      </c>
      <c r="F80" s="9" t="s">
        <v>127</v>
      </c>
      <c r="G80" s="8"/>
      <c r="H80" s="8"/>
      <c r="I80" s="8"/>
    </row>
    <row r="81" spans="1:9" x14ac:dyDescent="0.35">
      <c r="A81" s="7" t="s">
        <v>186</v>
      </c>
      <c r="B81" s="186">
        <v>2.93</v>
      </c>
      <c r="C81" s="186"/>
      <c r="D81" s="186"/>
      <c r="E81" s="8" t="s">
        <v>37</v>
      </c>
      <c r="F81" s="9" t="s">
        <v>237</v>
      </c>
      <c r="G81" s="8"/>
      <c r="H81" s="8"/>
      <c r="I81" s="8"/>
    </row>
    <row r="82" spans="1:9" x14ac:dyDescent="0.35">
      <c r="A82" s="7" t="s">
        <v>186</v>
      </c>
      <c r="B82" s="186">
        <v>9.23</v>
      </c>
      <c r="C82" s="186">
        <v>1</v>
      </c>
      <c r="D82" s="186"/>
      <c r="E82" s="8" t="s">
        <v>38</v>
      </c>
      <c r="F82" s="9" t="s">
        <v>187</v>
      </c>
      <c r="G82" s="8"/>
      <c r="H82" s="8"/>
      <c r="I82" s="8"/>
    </row>
    <row r="83" spans="1:9" x14ac:dyDescent="0.35">
      <c r="A83" s="7" t="s">
        <v>186</v>
      </c>
      <c r="B83" s="186">
        <f>AVERAGE(14.67,18.33)</f>
        <v>16.5</v>
      </c>
      <c r="C83" s="186"/>
      <c r="D83" s="186">
        <v>1</v>
      </c>
      <c r="E83" s="8" t="s">
        <v>22</v>
      </c>
      <c r="F83" s="9" t="s">
        <v>189</v>
      </c>
      <c r="G83" s="8"/>
      <c r="H83" s="8"/>
      <c r="I83" s="8"/>
    </row>
    <row r="84" spans="1:9" x14ac:dyDescent="0.35">
      <c r="A84" s="71" t="s">
        <v>186</v>
      </c>
      <c r="B84" s="187">
        <v>0</v>
      </c>
      <c r="C84" s="187"/>
      <c r="D84" s="187"/>
      <c r="E84" s="72" t="s">
        <v>469</v>
      </c>
      <c r="F84" s="73"/>
      <c r="G84" s="8"/>
      <c r="H84" s="8"/>
      <c r="I84" s="8"/>
    </row>
    <row r="85" spans="1:9" x14ac:dyDescent="0.35">
      <c r="A85" s="7" t="s">
        <v>42</v>
      </c>
      <c r="B85" s="186">
        <v>1.5</v>
      </c>
      <c r="C85" s="186"/>
      <c r="D85" s="186"/>
      <c r="E85" s="8" t="s">
        <v>20</v>
      </c>
      <c r="F85" s="9" t="s">
        <v>122</v>
      </c>
      <c r="G85" s="8"/>
      <c r="H85" s="8"/>
      <c r="I85" s="8"/>
    </row>
    <row r="86" spans="1:9" x14ac:dyDescent="0.35">
      <c r="A86" s="7" t="s">
        <v>42</v>
      </c>
      <c r="B86" s="186">
        <v>1.1000000000000001</v>
      </c>
      <c r="C86" s="186"/>
      <c r="D86" s="186"/>
      <c r="E86" s="8" t="s">
        <v>43</v>
      </c>
      <c r="F86" s="9" t="s">
        <v>122</v>
      </c>
      <c r="G86" s="8"/>
      <c r="H86" s="8"/>
      <c r="I86" s="8"/>
    </row>
    <row r="87" spans="1:9" x14ac:dyDescent="0.35">
      <c r="A87" s="7" t="s">
        <v>42</v>
      </c>
      <c r="B87" s="186">
        <v>4.18</v>
      </c>
      <c r="C87" s="186"/>
      <c r="D87" s="186"/>
      <c r="E87" s="8" t="s">
        <v>225</v>
      </c>
      <c r="F87" s="9" t="s">
        <v>226</v>
      </c>
      <c r="G87" s="8"/>
      <c r="H87" s="8"/>
      <c r="I87" s="8"/>
    </row>
    <row r="88" spans="1:9" x14ac:dyDescent="0.35">
      <c r="A88" s="7" t="s">
        <v>42</v>
      </c>
      <c r="B88" s="186">
        <v>4</v>
      </c>
      <c r="C88" s="186"/>
      <c r="D88" s="186"/>
      <c r="E88" s="8" t="s">
        <v>227</v>
      </c>
      <c r="F88" s="9" t="s">
        <v>226</v>
      </c>
      <c r="G88" s="8"/>
      <c r="H88" s="8"/>
      <c r="I88" s="8"/>
    </row>
    <row r="89" spans="1:9" x14ac:dyDescent="0.35">
      <c r="A89" s="7" t="s">
        <v>42</v>
      </c>
      <c r="B89" s="186">
        <v>0</v>
      </c>
      <c r="C89" s="186">
        <v>1</v>
      </c>
      <c r="D89" s="186"/>
      <c r="E89" s="8" t="s">
        <v>221</v>
      </c>
      <c r="F89" s="9" t="s">
        <v>222</v>
      </c>
      <c r="G89" s="8"/>
      <c r="H89" s="8"/>
      <c r="I89" s="8"/>
    </row>
    <row r="90" spans="1:9" x14ac:dyDescent="0.35">
      <c r="A90" s="71" t="s">
        <v>42</v>
      </c>
      <c r="B90" s="187">
        <v>3.1</v>
      </c>
      <c r="C90" s="187"/>
      <c r="D90" s="187">
        <v>1</v>
      </c>
      <c r="E90" s="72" t="s">
        <v>469</v>
      </c>
      <c r="F90" s="73" t="s">
        <v>472</v>
      </c>
      <c r="G90" s="8"/>
      <c r="H90" s="8"/>
      <c r="I90" s="8"/>
    </row>
    <row r="91" spans="1:9" x14ac:dyDescent="0.35">
      <c r="A91" s="7" t="s">
        <v>44</v>
      </c>
      <c r="B91" s="186">
        <v>3.19</v>
      </c>
      <c r="C91" s="186"/>
      <c r="D91" s="186">
        <v>1</v>
      </c>
      <c r="E91" s="8" t="s">
        <v>45</v>
      </c>
      <c r="F91" s="9" t="s">
        <v>122</v>
      </c>
      <c r="G91" s="8"/>
      <c r="H91" s="8"/>
      <c r="I91" s="8"/>
    </row>
    <row r="92" spans="1:9" x14ac:dyDescent="0.35">
      <c r="A92" s="7" t="s">
        <v>44</v>
      </c>
      <c r="B92" s="186">
        <v>1.17</v>
      </c>
      <c r="C92" s="186"/>
      <c r="D92" s="186"/>
      <c r="E92" s="8" t="s">
        <v>46</v>
      </c>
      <c r="F92" s="9" t="s">
        <v>134</v>
      </c>
      <c r="G92" s="8"/>
      <c r="H92" s="8"/>
      <c r="I92" s="8"/>
    </row>
    <row r="93" spans="1:9" x14ac:dyDescent="0.35">
      <c r="A93" s="8" t="s">
        <v>44</v>
      </c>
      <c r="B93" s="186">
        <v>3.08</v>
      </c>
      <c r="C93" s="186"/>
      <c r="D93" s="186"/>
      <c r="E93" s="8" t="s">
        <v>74</v>
      </c>
      <c r="F93" s="8" t="s">
        <v>133</v>
      </c>
      <c r="G93" s="8"/>
      <c r="H93" s="8"/>
      <c r="I93" s="8"/>
    </row>
    <row r="94" spans="1:9" x14ac:dyDescent="0.35">
      <c r="A94" s="8" t="s">
        <v>44</v>
      </c>
      <c r="B94" s="186">
        <v>13.16</v>
      </c>
      <c r="C94" s="186"/>
      <c r="D94" s="186"/>
      <c r="E94" s="8" t="s">
        <v>75</v>
      </c>
      <c r="F94" s="8" t="s">
        <v>132</v>
      </c>
      <c r="G94" s="8"/>
      <c r="H94" s="8"/>
      <c r="I94" s="8"/>
    </row>
    <row r="95" spans="1:9" x14ac:dyDescent="0.35">
      <c r="A95" s="8" t="s">
        <v>44</v>
      </c>
      <c r="B95" s="186">
        <v>0</v>
      </c>
      <c r="C95" s="186">
        <v>1</v>
      </c>
      <c r="D95" s="186"/>
      <c r="E95" s="8" t="s">
        <v>221</v>
      </c>
      <c r="F95" s="8" t="s">
        <v>222</v>
      </c>
      <c r="G95" s="8"/>
      <c r="H95" s="8"/>
      <c r="I95" s="8"/>
    </row>
    <row r="96" spans="1:9" x14ac:dyDescent="0.35">
      <c r="A96" s="72" t="s">
        <v>44</v>
      </c>
      <c r="B96" s="187">
        <v>0</v>
      </c>
      <c r="C96" s="187"/>
      <c r="D96" s="187"/>
      <c r="E96" s="72" t="s">
        <v>469</v>
      </c>
      <c r="F96" s="72"/>
      <c r="G96" s="8"/>
      <c r="H96" s="8"/>
      <c r="I96" s="34"/>
    </row>
    <row r="97" spans="1:9" x14ac:dyDescent="0.35">
      <c r="A97" s="8" t="s">
        <v>253</v>
      </c>
      <c r="B97" s="186">
        <v>0</v>
      </c>
      <c r="C97" s="186">
        <v>1</v>
      </c>
      <c r="D97" s="186"/>
      <c r="E97" s="8" t="s">
        <v>256</v>
      </c>
      <c r="F97" s="8" t="s">
        <v>257</v>
      </c>
      <c r="G97" s="8"/>
      <c r="H97" s="34"/>
      <c r="I97" s="8"/>
    </row>
    <row r="98" spans="1:9" x14ac:dyDescent="0.35">
      <c r="A98" s="8" t="s">
        <v>253</v>
      </c>
      <c r="B98" s="186">
        <v>0.79</v>
      </c>
      <c r="C98" s="186"/>
      <c r="D98" s="186"/>
      <c r="E98" s="8" t="s">
        <v>258</v>
      </c>
      <c r="F98" s="8" t="s">
        <v>259</v>
      </c>
      <c r="G98" s="8"/>
      <c r="H98" s="8"/>
      <c r="I98" s="8"/>
    </row>
    <row r="99" spans="1:9" x14ac:dyDescent="0.35">
      <c r="A99" s="8" t="s">
        <v>253</v>
      </c>
      <c r="B99" s="186">
        <v>1.03</v>
      </c>
      <c r="C99" s="186"/>
      <c r="D99" s="186">
        <v>1</v>
      </c>
      <c r="E99" s="8" t="s">
        <v>45</v>
      </c>
      <c r="F99" s="8" t="s">
        <v>260</v>
      </c>
      <c r="G99" s="8"/>
      <c r="H99" s="8"/>
      <c r="I99" s="8"/>
    </row>
    <row r="100" spans="1:9" x14ac:dyDescent="0.35">
      <c r="A100" s="8" t="s">
        <v>253</v>
      </c>
      <c r="B100" s="186">
        <v>0</v>
      </c>
      <c r="C100" s="186"/>
      <c r="D100" s="186"/>
      <c r="E100" s="8" t="s">
        <v>469</v>
      </c>
      <c r="F100" s="8"/>
      <c r="G100" s="8"/>
      <c r="H100" s="8"/>
      <c r="I100" s="8"/>
    </row>
    <row r="101" spans="1:9" x14ac:dyDescent="0.35">
      <c r="A101" s="199"/>
      <c r="B101" s="199"/>
      <c r="C101" s="199"/>
      <c r="D101" s="199"/>
      <c r="E101" s="199"/>
      <c r="F101" s="199"/>
    </row>
    <row r="102" spans="1:9" x14ac:dyDescent="0.35">
      <c r="A102" s="200" t="s">
        <v>101</v>
      </c>
      <c r="B102" s="203" t="s">
        <v>1</v>
      </c>
      <c r="C102" s="201" t="s">
        <v>527</v>
      </c>
      <c r="D102" s="202" t="s">
        <v>2</v>
      </c>
      <c r="E102" s="202" t="s">
        <v>98</v>
      </c>
      <c r="F102" s="202"/>
      <c r="G102" s="17"/>
      <c r="H102" s="17"/>
    </row>
    <row r="103" spans="1:9" x14ac:dyDescent="0.35">
      <c r="A103" s="194" t="s">
        <v>99</v>
      </c>
      <c r="B103" s="192">
        <v>4.41</v>
      </c>
      <c r="C103" s="196">
        <v>1</v>
      </c>
      <c r="D103" s="17" t="s">
        <v>47</v>
      </c>
      <c r="E103" s="17" t="s">
        <v>106</v>
      </c>
      <c r="F103" s="17"/>
      <c r="G103" s="17"/>
      <c r="H103" s="17"/>
    </row>
    <row r="104" spans="1:9" x14ac:dyDescent="0.35">
      <c r="A104" s="194" t="s">
        <v>99</v>
      </c>
      <c r="B104" s="192">
        <v>3.9</v>
      </c>
      <c r="C104" s="196"/>
      <c r="D104" s="17" t="s">
        <v>48</v>
      </c>
      <c r="E104" s="17"/>
      <c r="F104" s="17"/>
      <c r="G104" s="17"/>
      <c r="H104" s="17"/>
    </row>
    <row r="105" spans="1:9" x14ac:dyDescent="0.35">
      <c r="A105" s="194" t="s">
        <v>99</v>
      </c>
      <c r="B105" s="192">
        <v>3.2</v>
      </c>
      <c r="C105" s="196"/>
      <c r="D105" s="17" t="s">
        <v>49</v>
      </c>
      <c r="E105" s="17" t="s">
        <v>107</v>
      </c>
      <c r="F105" s="17"/>
      <c r="G105" s="17"/>
      <c r="H105" s="17"/>
    </row>
    <row r="106" spans="1:9" x14ac:dyDescent="0.35">
      <c r="A106" s="194" t="s">
        <v>99</v>
      </c>
      <c r="B106" s="192">
        <v>6.6</v>
      </c>
      <c r="C106" s="196"/>
      <c r="D106" s="17" t="s">
        <v>49</v>
      </c>
      <c r="E106" s="17" t="s">
        <v>108</v>
      </c>
      <c r="F106" s="17"/>
      <c r="G106" s="17"/>
      <c r="H106" s="17"/>
    </row>
    <row r="107" spans="1:9" x14ac:dyDescent="0.35">
      <c r="A107" s="195" t="s">
        <v>99</v>
      </c>
      <c r="B107" s="193">
        <v>0</v>
      </c>
      <c r="C107" s="197"/>
      <c r="D107" s="138" t="s">
        <v>469</v>
      </c>
      <c r="E107" s="138"/>
      <c r="F107" s="138"/>
      <c r="G107" s="138"/>
      <c r="H107" s="138"/>
    </row>
    <row r="108" spans="1:9" x14ac:dyDescent="0.35">
      <c r="A108" s="194" t="s">
        <v>63</v>
      </c>
      <c r="B108" s="192">
        <v>1.6</v>
      </c>
      <c r="C108" s="196"/>
      <c r="D108" s="17" t="s">
        <v>228</v>
      </c>
      <c r="E108" s="17" t="s">
        <v>229</v>
      </c>
      <c r="F108" s="17"/>
      <c r="G108" s="17"/>
      <c r="H108" s="17"/>
    </row>
    <row r="109" spans="1:9" x14ac:dyDescent="0.35">
      <c r="A109" s="194" t="s">
        <v>63</v>
      </c>
      <c r="B109" s="192">
        <v>1.75</v>
      </c>
      <c r="C109" s="196"/>
      <c r="D109" s="17" t="s">
        <v>57</v>
      </c>
      <c r="E109" s="17" t="s">
        <v>109</v>
      </c>
      <c r="F109" s="17"/>
      <c r="G109" s="17"/>
      <c r="H109" s="17"/>
    </row>
    <row r="110" spans="1:9" x14ac:dyDescent="0.35">
      <c r="A110" s="194" t="s">
        <v>63</v>
      </c>
      <c r="B110" s="192">
        <v>1.3</v>
      </c>
      <c r="C110" s="196"/>
      <c r="D110" s="17" t="s">
        <v>58</v>
      </c>
      <c r="E110" s="17" t="s">
        <v>109</v>
      </c>
      <c r="F110" s="17"/>
      <c r="G110" s="17"/>
      <c r="H110" s="17"/>
    </row>
    <row r="111" spans="1:9" x14ac:dyDescent="0.35">
      <c r="A111" s="194" t="s">
        <v>63</v>
      </c>
      <c r="B111" s="192">
        <v>0.83</v>
      </c>
      <c r="C111" s="196"/>
      <c r="D111" s="17" t="s">
        <v>59</v>
      </c>
      <c r="E111" s="17" t="s">
        <v>60</v>
      </c>
      <c r="F111" s="17"/>
      <c r="G111" s="17"/>
      <c r="H111" s="17"/>
    </row>
    <row r="112" spans="1:9" x14ac:dyDescent="0.35">
      <c r="A112" s="194" t="s">
        <v>63</v>
      </c>
      <c r="B112" s="192">
        <v>0.92</v>
      </c>
      <c r="C112" s="196"/>
      <c r="D112" s="17" t="s">
        <v>59</v>
      </c>
      <c r="E112" s="17" t="s">
        <v>61</v>
      </c>
      <c r="F112" s="17"/>
      <c r="G112" s="17"/>
      <c r="H112" s="17"/>
    </row>
    <row r="113" spans="1:8" x14ac:dyDescent="0.35">
      <c r="A113" s="194" t="s">
        <v>64</v>
      </c>
      <c r="B113" s="192" t="s">
        <v>66</v>
      </c>
      <c r="C113" s="198" t="s">
        <v>526</v>
      </c>
      <c r="D113" s="17" t="s">
        <v>62</v>
      </c>
      <c r="E113" s="17" t="s">
        <v>111</v>
      </c>
      <c r="F113" s="17"/>
      <c r="G113" s="17"/>
      <c r="H113" s="17"/>
    </row>
    <row r="114" spans="1:8" x14ac:dyDescent="0.35">
      <c r="A114" s="194" t="s">
        <v>64</v>
      </c>
      <c r="B114" s="192" t="s">
        <v>67</v>
      </c>
      <c r="C114" s="198" t="s">
        <v>526</v>
      </c>
      <c r="D114" s="17" t="s">
        <v>65</v>
      </c>
      <c r="E114" s="17" t="s">
        <v>110</v>
      </c>
      <c r="F114" s="17"/>
      <c r="G114" s="17"/>
      <c r="H114" s="17"/>
    </row>
    <row r="115" spans="1:8" x14ac:dyDescent="0.35">
      <c r="A115" s="194" t="s">
        <v>231</v>
      </c>
      <c r="B115" s="192">
        <v>1.2</v>
      </c>
      <c r="C115" s="196">
        <v>1</v>
      </c>
      <c r="D115" s="17" t="s">
        <v>230</v>
      </c>
      <c r="E115" s="17" t="s">
        <v>233</v>
      </c>
      <c r="F115" s="17"/>
      <c r="G115" s="17"/>
      <c r="H115" s="17"/>
    </row>
    <row r="116" spans="1:8" x14ac:dyDescent="0.35">
      <c r="A116" s="194" t="s">
        <v>231</v>
      </c>
      <c r="B116" s="192">
        <v>1.86</v>
      </c>
      <c r="C116" s="196"/>
      <c r="D116" s="17" t="s">
        <v>228</v>
      </c>
      <c r="E116" s="17" t="s">
        <v>232</v>
      </c>
      <c r="F116" s="17"/>
      <c r="G116" s="17"/>
      <c r="H116" s="17"/>
    </row>
    <row r="117" spans="1:8" x14ac:dyDescent="0.35">
      <c r="A117" s="194" t="s">
        <v>68</v>
      </c>
      <c r="B117" s="192">
        <v>5.5</v>
      </c>
      <c r="C117" s="196"/>
      <c r="D117" s="17" t="s">
        <v>69</v>
      </c>
      <c r="E117" s="17" t="s">
        <v>112</v>
      </c>
      <c r="F117" s="17"/>
      <c r="G117" s="17"/>
      <c r="H117" s="17"/>
    </row>
    <row r="118" spans="1:8" x14ac:dyDescent="0.35">
      <c r="A118" s="194" t="s">
        <v>68</v>
      </c>
      <c r="B118" s="192">
        <v>4.05</v>
      </c>
      <c r="C118" s="196"/>
      <c r="D118" s="17" t="s">
        <v>70</v>
      </c>
      <c r="E118" s="17" t="s">
        <v>113</v>
      </c>
      <c r="F118" s="17"/>
      <c r="G118" s="17"/>
      <c r="H118" s="17"/>
    </row>
    <row r="119" spans="1:8" x14ac:dyDescent="0.35">
      <c r="A119" s="194" t="s">
        <v>68</v>
      </c>
      <c r="B119" s="192">
        <v>3</v>
      </c>
      <c r="C119" s="196"/>
      <c r="D119" s="17" t="s">
        <v>71</v>
      </c>
      <c r="E119" s="17" t="s">
        <v>114</v>
      </c>
      <c r="F119" s="17"/>
      <c r="G119" s="17"/>
      <c r="H119" s="17"/>
    </row>
    <row r="120" spans="1:8" x14ac:dyDescent="0.35">
      <c r="A120" s="194" t="s">
        <v>68</v>
      </c>
      <c r="B120" s="192">
        <v>4</v>
      </c>
      <c r="C120" s="196"/>
      <c r="D120" s="17" t="s">
        <v>72</v>
      </c>
      <c r="E120" s="17" t="s">
        <v>112</v>
      </c>
      <c r="F120" s="17"/>
      <c r="G120" s="17"/>
      <c r="H120" s="17"/>
    </row>
    <row r="121" spans="1:8" x14ac:dyDescent="0.35">
      <c r="A121" s="194" t="s">
        <v>68</v>
      </c>
      <c r="B121" s="192">
        <v>2.2999999999999998</v>
      </c>
      <c r="C121" s="196"/>
      <c r="D121" s="17" t="s">
        <v>73</v>
      </c>
      <c r="E121" s="17" t="s">
        <v>112</v>
      </c>
      <c r="F121" s="17"/>
      <c r="G121" s="17"/>
      <c r="H121" s="17"/>
    </row>
    <row r="122" spans="1:8" x14ac:dyDescent="0.35">
      <c r="A122" s="194" t="s">
        <v>470</v>
      </c>
      <c r="B122" s="192">
        <v>0</v>
      </c>
      <c r="C122" s="196"/>
      <c r="D122" s="17" t="s">
        <v>471</v>
      </c>
      <c r="E122" s="17"/>
      <c r="F122" s="17"/>
      <c r="G122" s="17"/>
      <c r="H122" s="17"/>
    </row>
    <row r="123" spans="1:8" ht="15" thickBot="1" x14ac:dyDescent="0.4"/>
    <row r="124" spans="1:8" x14ac:dyDescent="0.35">
      <c r="A124" s="137" t="s">
        <v>479</v>
      </c>
      <c r="B124" s="208" t="s">
        <v>481</v>
      </c>
      <c r="C124" s="208" t="s">
        <v>480</v>
      </c>
      <c r="D124" s="78" t="s">
        <v>98</v>
      </c>
    </row>
    <row r="125" spans="1:8" ht="15" thickBot="1" x14ac:dyDescent="0.4">
      <c r="A125" s="79" t="s">
        <v>482</v>
      </c>
      <c r="B125" s="209">
        <v>1</v>
      </c>
      <c r="C125" s="209">
        <v>2</v>
      </c>
      <c r="D125" s="80" t="s">
        <v>483</v>
      </c>
    </row>
    <row r="126" spans="1:8" ht="15" thickBot="1" x14ac:dyDescent="0.4"/>
    <row r="127" spans="1:8" x14ac:dyDescent="0.35">
      <c r="A127" s="132" t="s">
        <v>511</v>
      </c>
      <c r="B127" s="210"/>
      <c r="C127" s="133"/>
    </row>
    <row r="128" spans="1:8" x14ac:dyDescent="0.35">
      <c r="A128" s="38" t="s">
        <v>401</v>
      </c>
      <c r="B128" s="211">
        <v>796592</v>
      </c>
      <c r="C128" s="134" t="s">
        <v>402</v>
      </c>
    </row>
    <row r="129" spans="1:3" x14ac:dyDescent="0.35">
      <c r="A129" s="38" t="s">
        <v>403</v>
      </c>
      <c r="B129" s="211">
        <v>18125</v>
      </c>
      <c r="C129" s="134" t="s">
        <v>402</v>
      </c>
    </row>
    <row r="130" spans="1:3" x14ac:dyDescent="0.35">
      <c r="A130" s="38" t="s">
        <v>405</v>
      </c>
      <c r="B130" s="211">
        <v>11369</v>
      </c>
      <c r="C130" s="134" t="s">
        <v>402</v>
      </c>
    </row>
    <row r="131" spans="1:3" x14ac:dyDescent="0.35">
      <c r="A131" s="38" t="s">
        <v>411</v>
      </c>
      <c r="B131" s="211">
        <f>122821+79609+143225</f>
        <v>345655</v>
      </c>
      <c r="C131" s="134" t="s">
        <v>412</v>
      </c>
    </row>
    <row r="132" spans="1:3" x14ac:dyDescent="0.35">
      <c r="A132" s="38" t="s">
        <v>445</v>
      </c>
      <c r="B132" s="211">
        <f>122821+79609</f>
        <v>202430</v>
      </c>
      <c r="C132" s="134" t="s">
        <v>412</v>
      </c>
    </row>
    <row r="133" spans="1:3" x14ac:dyDescent="0.35">
      <c r="A133" s="38" t="s">
        <v>446</v>
      </c>
      <c r="B133" s="211">
        <f>143225</f>
        <v>143225</v>
      </c>
      <c r="C133" s="134" t="s">
        <v>412</v>
      </c>
    </row>
    <row r="134" spans="1:3" x14ac:dyDescent="0.35">
      <c r="A134" s="38" t="s">
        <v>413</v>
      </c>
      <c r="B134" s="211">
        <f>26.9/27.9</f>
        <v>0.96415770609318996</v>
      </c>
      <c r="C134" s="134" t="s">
        <v>414</v>
      </c>
    </row>
    <row r="135" spans="1:3" x14ac:dyDescent="0.35">
      <c r="A135" s="38" t="s">
        <v>415</v>
      </c>
      <c r="B135" s="211">
        <f>16.4/17.2</f>
        <v>0.95348837209302317</v>
      </c>
      <c r="C135" s="134" t="s">
        <v>414</v>
      </c>
    </row>
    <row r="136" spans="1:3" x14ac:dyDescent="0.35">
      <c r="A136" s="38" t="s">
        <v>416</v>
      </c>
      <c r="B136" s="211">
        <v>1.28</v>
      </c>
      <c r="C136" s="134" t="s">
        <v>417</v>
      </c>
    </row>
    <row r="137" spans="1:3" x14ac:dyDescent="0.35">
      <c r="A137" s="38" t="s">
        <v>418</v>
      </c>
      <c r="B137" s="211">
        <v>1.46</v>
      </c>
      <c r="C137" s="134" t="s">
        <v>417</v>
      </c>
    </row>
    <row r="138" spans="1:3" x14ac:dyDescent="0.35">
      <c r="A138" s="38" t="s">
        <v>407</v>
      </c>
      <c r="B138" s="211">
        <v>7846</v>
      </c>
      <c r="C138" s="134" t="s">
        <v>402</v>
      </c>
    </row>
    <row r="139" spans="1:3" x14ac:dyDescent="0.35">
      <c r="A139" s="38" t="s">
        <v>409</v>
      </c>
      <c r="B139" s="211">
        <v>6641</v>
      </c>
      <c r="C139" s="134" t="s">
        <v>402</v>
      </c>
    </row>
    <row r="140" spans="1:3" x14ac:dyDescent="0.35">
      <c r="A140" s="38" t="s">
        <v>421</v>
      </c>
      <c r="B140" s="212">
        <v>0.85</v>
      </c>
      <c r="C140" s="134" t="s">
        <v>502</v>
      </c>
    </row>
    <row r="141" spans="1:3" x14ac:dyDescent="0.35">
      <c r="A141" s="38" t="s">
        <v>422</v>
      </c>
      <c r="B141" s="211">
        <v>0</v>
      </c>
      <c r="C141" s="134" t="s">
        <v>504</v>
      </c>
    </row>
    <row r="142" spans="1:3" x14ac:dyDescent="0.35">
      <c r="A142" s="38" t="s">
        <v>423</v>
      </c>
      <c r="B142" s="211">
        <v>3.2</v>
      </c>
      <c r="C142" s="134" t="s">
        <v>504</v>
      </c>
    </row>
    <row r="143" spans="1:3" x14ac:dyDescent="0.35">
      <c r="A143" s="214"/>
      <c r="B143" s="215"/>
      <c r="C143" s="216"/>
    </row>
    <row r="144" spans="1:3" x14ac:dyDescent="0.35">
      <c r="A144" s="214" t="s">
        <v>505</v>
      </c>
      <c r="B144" s="215">
        <v>0</v>
      </c>
      <c r="C144" s="216" t="s">
        <v>506</v>
      </c>
    </row>
    <row r="145" spans="1:3" ht="15" thickBot="1" x14ac:dyDescent="0.4">
      <c r="A145" s="39" t="s">
        <v>507</v>
      </c>
      <c r="B145" s="213">
        <v>25</v>
      </c>
      <c r="C145" s="135"/>
    </row>
  </sheetData>
  <phoneticPr fontId="2"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14393-BCFC-44B7-A972-13D87D725432}">
  <dimension ref="A1:G43"/>
  <sheetViews>
    <sheetView workbookViewId="0">
      <selection activeCell="F26" sqref="F26"/>
    </sheetView>
  </sheetViews>
  <sheetFormatPr defaultRowHeight="14.5" x14ac:dyDescent="0.35"/>
  <cols>
    <col min="1" max="1" width="46.08984375" customWidth="1"/>
    <col min="2" max="3" width="21.90625" bestFit="1" customWidth="1"/>
    <col min="6" max="6" width="15.36328125" customWidth="1"/>
    <col min="7" max="7" width="20.81640625" customWidth="1"/>
  </cols>
  <sheetData>
    <row r="1" spans="1:7" x14ac:dyDescent="0.35">
      <c r="A1" s="43" t="s">
        <v>557</v>
      </c>
      <c r="B1" s="172"/>
    </row>
    <row r="2" spans="1:7" x14ac:dyDescent="0.35">
      <c r="A2" s="38" t="s">
        <v>558</v>
      </c>
      <c r="B2" s="173" t="str">
        <f>IF((ROUND(SUM(Inputs!B26:B33),0))&lt;&gt;100,"Current Manure Management Practices Do Not Sum to 100%","No Warning")</f>
        <v>No Warning</v>
      </c>
    </row>
    <row r="3" spans="1:7" x14ac:dyDescent="0.35">
      <c r="A3" s="38" t="s">
        <v>559</v>
      </c>
      <c r="B3" s="173" t="str">
        <f>IF((ROUND(SUM(Inputs!C26:C33),0))&lt;&gt;100,"Current Manure Management Practices Do Not Sum to 100%","No Warning")</f>
        <v>No Warning</v>
      </c>
    </row>
    <row r="4" spans="1:7" x14ac:dyDescent="0.35">
      <c r="A4" s="38" t="s">
        <v>560</v>
      </c>
      <c r="B4" s="173" t="str">
        <f>IF(AND(Inputs!B144&lt;&gt;0,'Scenario Potential Calculations'!C107&gt;0),"Scenario Includes Both Transition to Grassfed and Manure Management Changes, Not Currently Implemented","No Warning")</f>
        <v>No Warning</v>
      </c>
    </row>
    <row r="5" spans="1:7" ht="15" thickBot="1" x14ac:dyDescent="0.4">
      <c r="A5" s="39" t="s">
        <v>561</v>
      </c>
      <c r="B5" s="170" t="str">
        <f>IF(AND(Inputs!B144&lt;&gt;0,'Scenario Potential Calculations'!C110&gt;0),"Scenario Includes Both Transition to Grassfed and Enteric Emissions Reductions, Not Currently Implemented","No Warning")</f>
        <v>No Warning</v>
      </c>
    </row>
    <row r="7" spans="1:7" ht="15" thickBot="1" x14ac:dyDescent="0.4"/>
    <row r="8" spans="1:7" ht="15" thickBot="1" x14ac:dyDescent="0.4">
      <c r="A8" s="27" t="s">
        <v>476</v>
      </c>
      <c r="B8" s="31" t="s">
        <v>350</v>
      </c>
      <c r="C8" s="31" t="s">
        <v>351</v>
      </c>
    </row>
    <row r="9" spans="1:7" x14ac:dyDescent="0.35">
      <c r="A9" s="20"/>
      <c r="B9" s="21" t="s">
        <v>182</v>
      </c>
      <c r="C9" s="21" t="s">
        <v>182</v>
      </c>
      <c r="F9" s="27" t="s">
        <v>551</v>
      </c>
      <c r="G9" s="19"/>
    </row>
    <row r="10" spans="1:7" x14ac:dyDescent="0.35">
      <c r="A10" s="20" t="s">
        <v>78</v>
      </c>
      <c r="B10" s="218">
        <f>'Scenario Potential Calculations'!B96</f>
        <v>0</v>
      </c>
      <c r="C10" s="218">
        <f>'Scenario Potential Calculations'!C96</f>
        <v>0.404909515577004</v>
      </c>
      <c r="F10" s="20" t="s">
        <v>352</v>
      </c>
      <c r="G10" s="37">
        <f>SUM('Scenario Potential Calculations'!B114:B128)</f>
        <v>0.39750581055618733</v>
      </c>
    </row>
    <row r="11" spans="1:7" x14ac:dyDescent="0.35">
      <c r="A11" s="20" t="s">
        <v>25</v>
      </c>
      <c r="B11" s="218">
        <f>'Scenario Potential Calculations'!B97</f>
        <v>0</v>
      </c>
      <c r="C11" s="218">
        <f>'Scenario Potential Calculations'!C97</f>
        <v>1.7588996287145182E-2</v>
      </c>
      <c r="F11" s="20" t="s">
        <v>353</v>
      </c>
      <c r="G11" s="36">
        <f>SUM('Scenario Potential Calculations'!C114:C128)-G10</f>
        <v>0.32536896684906519</v>
      </c>
    </row>
    <row r="12" spans="1:7" x14ac:dyDescent="0.35">
      <c r="A12" s="20" t="s">
        <v>33</v>
      </c>
      <c r="B12" s="218">
        <f>'Scenario Potential Calculations'!B98</f>
        <v>0.69461923783999979</v>
      </c>
      <c r="C12" s="218">
        <f>'Scenario Potential Calculations'!C98</f>
        <v>1.33065613032</v>
      </c>
      <c r="F12" s="20" t="s">
        <v>214</v>
      </c>
      <c r="G12" s="33">
        <f>IF((1-G13)&lt;0,0,(1-G13))</f>
        <v>0.27712522259474759</v>
      </c>
    </row>
    <row r="13" spans="1:7" ht="15" thickBot="1" x14ac:dyDescent="0.4">
      <c r="A13" s="20" t="s">
        <v>39</v>
      </c>
      <c r="B13" s="218">
        <f>'Scenario Potential Calculations'!B99</f>
        <v>0.62392868735999996</v>
      </c>
      <c r="C13" s="218">
        <f>'Scenario Potential Calculations'!C99</f>
        <v>2.31373554896</v>
      </c>
      <c r="F13" s="22" t="s">
        <v>354</v>
      </c>
      <c r="G13" s="164">
        <f>'Scenario Potential Calculations'!C129</f>
        <v>0.72287477740525241</v>
      </c>
    </row>
    <row r="14" spans="1:7" x14ac:dyDescent="0.35">
      <c r="A14" s="20" t="s">
        <v>40</v>
      </c>
      <c r="B14" s="218">
        <f>'Scenario Potential Calculations'!B100</f>
        <v>1.004895457159529</v>
      </c>
      <c r="C14" s="218">
        <f>'Scenario Potential Calculations'!C100</f>
        <v>1.6748257619325486</v>
      </c>
    </row>
    <row r="15" spans="1:7" x14ac:dyDescent="0.35">
      <c r="A15" s="20" t="s">
        <v>186</v>
      </c>
      <c r="B15" s="218">
        <f>'Scenario Potential Calculations'!B101</f>
        <v>0.97620805270300004</v>
      </c>
      <c r="C15" s="218">
        <f>'Scenario Potential Calculations'!C101</f>
        <v>1.7451173206499999</v>
      </c>
    </row>
    <row r="16" spans="1:7" x14ac:dyDescent="0.35">
      <c r="A16" s="20" t="s">
        <v>42</v>
      </c>
      <c r="B16" s="218">
        <f>'Scenario Potential Calculations'!B102</f>
        <v>0</v>
      </c>
      <c r="C16" s="218">
        <f>'Scenario Potential Calculations'!C102</f>
        <v>0.48926537400000003</v>
      </c>
    </row>
    <row r="17" spans="1:3" x14ac:dyDescent="0.35">
      <c r="A17" s="20" t="s">
        <v>79</v>
      </c>
      <c r="B17" s="218">
        <f>'Scenario Potential Calculations'!B103</f>
        <v>0</v>
      </c>
      <c r="C17" s="218">
        <f>'Scenario Potential Calculations'!C103</f>
        <v>0.25818966799999993</v>
      </c>
    </row>
    <row r="18" spans="1:3" x14ac:dyDescent="0.35">
      <c r="A18" s="20" t="s">
        <v>399</v>
      </c>
      <c r="B18" s="218">
        <f>'Scenario Potential Calculations'!B104</f>
        <v>0</v>
      </c>
      <c r="C18" s="218">
        <f>'Scenario Potential Calculations'!C104</f>
        <v>0</v>
      </c>
    </row>
    <row r="19" spans="1:3" x14ac:dyDescent="0.35">
      <c r="A19" s="20" t="s">
        <v>261</v>
      </c>
      <c r="B19" s="218">
        <f>'Scenario Potential Calculations'!B105</f>
        <v>0</v>
      </c>
      <c r="C19" s="218">
        <f>'Scenario Potential Calculations'!C105</f>
        <v>0.27991038615297598</v>
      </c>
    </row>
    <row r="20" spans="1:3" x14ac:dyDescent="0.35">
      <c r="A20" s="20" t="s">
        <v>81</v>
      </c>
      <c r="B20" s="218">
        <f>'Scenario Potential Calculations'!B106</f>
        <v>1.2900153514821697</v>
      </c>
      <c r="C20" s="218">
        <f>'Scenario Potential Calculations'!C106</f>
        <v>1.2900153514821697</v>
      </c>
    </row>
    <row r="21" spans="1:3" x14ac:dyDescent="0.35">
      <c r="A21" s="20" t="s">
        <v>340</v>
      </c>
      <c r="B21" s="218">
        <f>'Scenario Potential Calculations'!B107</f>
        <v>1.3231858379923676</v>
      </c>
      <c r="C21" s="218">
        <f>'Scenario Potential Calculations'!C107</f>
        <v>1.3231858379923676</v>
      </c>
    </row>
    <row r="22" spans="1:3" x14ac:dyDescent="0.35">
      <c r="A22" s="20" t="s">
        <v>400</v>
      </c>
      <c r="B22" s="218">
        <f>'Scenario Potential Calculations'!B108</f>
        <v>1</v>
      </c>
      <c r="C22" s="218">
        <f>'Scenario Potential Calculations'!C108</f>
        <v>2</v>
      </c>
    </row>
    <row r="23" spans="1:3" x14ac:dyDescent="0.35">
      <c r="A23" s="20" t="s">
        <v>398</v>
      </c>
      <c r="B23" s="218">
        <f>'Scenario Potential Calculations'!B109</f>
        <v>0.67950835708611212</v>
      </c>
      <c r="C23" s="218">
        <f>'Scenario Potential Calculations'!C109</f>
        <v>0.67950835708611212</v>
      </c>
    </row>
    <row r="24" spans="1:3" x14ac:dyDescent="0.35">
      <c r="A24" s="20" t="s">
        <v>347</v>
      </c>
      <c r="B24" s="218">
        <f>'Scenario Potential Calculations'!B110</f>
        <v>0</v>
      </c>
      <c r="C24" s="218">
        <f>'Scenario Potential Calculations'!C110</f>
        <v>0</v>
      </c>
    </row>
    <row r="25" spans="1:3" ht="15" thickBot="1" x14ac:dyDescent="0.4">
      <c r="A25" s="165" t="s">
        <v>181</v>
      </c>
      <c r="B25" s="219">
        <f>'Scenario Potential Calculations'!B111</f>
        <v>7.5923609816231785</v>
      </c>
      <c r="C25" s="219">
        <f>'Scenario Potential Calculations'!C111</f>
        <v>13.806908248440322</v>
      </c>
    </row>
    <row r="26" spans="1:3" ht="15" thickBot="1" x14ac:dyDescent="0.4"/>
    <row r="27" spans="1:3" x14ac:dyDescent="0.35">
      <c r="A27" s="27" t="s">
        <v>552</v>
      </c>
      <c r="B27" s="31" t="s">
        <v>350</v>
      </c>
      <c r="C27" s="31" t="s">
        <v>351</v>
      </c>
    </row>
    <row r="28" spans="1:3" x14ac:dyDescent="0.35">
      <c r="A28" s="20" t="s">
        <v>78</v>
      </c>
      <c r="B28" s="220">
        <f>'Scenario Potential Calculations'!B114</f>
        <v>0</v>
      </c>
      <c r="C28" s="220">
        <f>'Scenario Potential Calculations'!C114</f>
        <v>2.119945107733005E-2</v>
      </c>
    </row>
    <row r="29" spans="1:3" x14ac:dyDescent="0.35">
      <c r="A29" s="20" t="s">
        <v>25</v>
      </c>
      <c r="B29" s="220">
        <f>'Scenario Potential Calculations'!B115</f>
        <v>0</v>
      </c>
      <c r="C29" s="220">
        <f>'Scenario Potential Calculations'!C115</f>
        <v>9.2088985796571631E-4</v>
      </c>
    </row>
    <row r="30" spans="1:3" x14ac:dyDescent="0.35">
      <c r="A30" s="20" t="s">
        <v>33</v>
      </c>
      <c r="B30" s="220">
        <f>'Scenario Potential Calculations'!B116</f>
        <v>3.6367499363350771E-2</v>
      </c>
      <c r="C30" s="220">
        <f>'Scenario Potential Calculations'!C116</f>
        <v>6.9667860226178005E-2</v>
      </c>
    </row>
    <row r="31" spans="1:3" x14ac:dyDescent="0.35">
      <c r="A31" s="20" t="s">
        <v>39</v>
      </c>
      <c r="B31" s="220">
        <f>'Scenario Potential Calculations'!B117</f>
        <v>3.2666423421989527E-2</v>
      </c>
      <c r="C31" s="220">
        <f>'Scenario Potential Calculations'!C117</f>
        <v>0.12113798685654449</v>
      </c>
    </row>
    <row r="32" spans="1:3" x14ac:dyDescent="0.35">
      <c r="A32" s="20" t="s">
        <v>40</v>
      </c>
      <c r="B32" s="220">
        <f>'Scenario Potential Calculations'!B118</f>
        <v>5.2612327599975334E-2</v>
      </c>
      <c r="C32" s="220">
        <f>'Scenario Potential Calculations'!C118</f>
        <v>8.7687212666625575E-2</v>
      </c>
    </row>
    <row r="33" spans="1:3" x14ac:dyDescent="0.35">
      <c r="A33" s="20" t="s">
        <v>186</v>
      </c>
      <c r="B33" s="220">
        <f>'Scenario Potential Calculations'!B119</f>
        <v>5.1110369251465969E-2</v>
      </c>
      <c r="C33" s="220">
        <f>'Scenario Potential Calculations'!C119</f>
        <v>9.1367398986910986E-2</v>
      </c>
    </row>
    <row r="34" spans="1:3" x14ac:dyDescent="0.35">
      <c r="A34" s="20" t="s">
        <v>42</v>
      </c>
      <c r="B34" s="220">
        <f>'Scenario Potential Calculations'!B120</f>
        <v>0</v>
      </c>
      <c r="C34" s="220">
        <f>'Scenario Potential Calculations'!C120</f>
        <v>2.5615988167539266E-2</v>
      </c>
    </row>
    <row r="35" spans="1:3" x14ac:dyDescent="0.35">
      <c r="A35" s="20" t="s">
        <v>79</v>
      </c>
      <c r="B35" s="220">
        <f>'Scenario Potential Calculations'!B121</f>
        <v>0</v>
      </c>
      <c r="C35" s="220">
        <f>'Scenario Potential Calculations'!C121</f>
        <v>1.3517783664921462E-2</v>
      </c>
    </row>
    <row r="36" spans="1:3" x14ac:dyDescent="0.35">
      <c r="A36" s="20" t="s">
        <v>399</v>
      </c>
      <c r="B36" s="220">
        <f>'Scenario Potential Calculations'!B122</f>
        <v>0</v>
      </c>
      <c r="C36" s="220">
        <f>'Scenario Potential Calculations'!C122</f>
        <v>0</v>
      </c>
    </row>
    <row r="37" spans="1:3" x14ac:dyDescent="0.35">
      <c r="A37" s="20" t="s">
        <v>261</v>
      </c>
      <c r="B37" s="220">
        <f>'Scenario Potential Calculations'!B123</f>
        <v>0</v>
      </c>
      <c r="C37" s="220">
        <f>'Scenario Potential Calculations'!C123</f>
        <v>1.4654994039422825E-2</v>
      </c>
    </row>
    <row r="38" spans="1:3" x14ac:dyDescent="0.35">
      <c r="A38" s="20" t="s">
        <v>81</v>
      </c>
      <c r="B38" s="220">
        <f>'Scenario Potential Calculations'!B124</f>
        <v>6.7540070758228779E-2</v>
      </c>
      <c r="C38" s="220">
        <f>'Scenario Potential Calculations'!C124</f>
        <v>6.7540070758228779E-2</v>
      </c>
    </row>
    <row r="39" spans="1:3" x14ac:dyDescent="0.35">
      <c r="A39" s="20" t="s">
        <v>340</v>
      </c>
      <c r="B39" s="220">
        <f>'Scenario Potential Calculations'!B125</f>
        <v>6.9276745444626572E-2</v>
      </c>
      <c r="C39" s="220">
        <f>'Scenario Potential Calculations'!C125</f>
        <v>6.9276745444626572E-2</v>
      </c>
    </row>
    <row r="40" spans="1:3" x14ac:dyDescent="0.35">
      <c r="A40" s="20" t="s">
        <v>400</v>
      </c>
      <c r="B40" s="220">
        <f>'Scenario Potential Calculations'!B126</f>
        <v>5.235602094240837E-2</v>
      </c>
      <c r="C40" s="220">
        <f>'Scenario Potential Calculations'!C126</f>
        <v>0.10471204188481674</v>
      </c>
    </row>
    <row r="41" spans="1:3" x14ac:dyDescent="0.35">
      <c r="A41" s="20" t="s">
        <v>398</v>
      </c>
      <c r="B41" s="220">
        <f>'Scenario Potential Calculations'!B127</f>
        <v>3.5576353774141992E-2</v>
      </c>
      <c r="C41" s="220">
        <f>'Scenario Potential Calculations'!C127</f>
        <v>3.5576353774141992E-2</v>
      </c>
    </row>
    <row r="42" spans="1:3" x14ac:dyDescent="0.35">
      <c r="A42" s="20" t="s">
        <v>347</v>
      </c>
      <c r="B42" s="220">
        <f>'Scenario Potential Calculations'!B128</f>
        <v>0</v>
      </c>
      <c r="C42" s="220">
        <f>'Scenario Potential Calculations'!C128</f>
        <v>0</v>
      </c>
    </row>
    <row r="43" spans="1:3" ht="15" thickBot="1" x14ac:dyDescent="0.4">
      <c r="A43" s="165" t="s">
        <v>181</v>
      </c>
      <c r="B43" s="221">
        <f>'Scenario Potential Calculations'!B129</f>
        <v>0.39750581055618733</v>
      </c>
      <c r="C43" s="221">
        <f>'Scenario Potential Calculations'!C129</f>
        <v>0.72287477740525241</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D189B-DFEF-4048-BF2E-46E35FA7365D}">
  <dimension ref="A1:Q24"/>
  <sheetViews>
    <sheetView workbookViewId="0">
      <pane xSplit="1" ySplit="1" topLeftCell="B2" activePane="bottomRight" state="frozen"/>
      <selection pane="topRight" activeCell="B1" sqref="B1"/>
      <selection pane="bottomLeft" activeCell="A2" sqref="A2"/>
      <selection pane="bottomRight" activeCell="A26" sqref="A26"/>
    </sheetView>
  </sheetViews>
  <sheetFormatPr defaultRowHeight="14.5" x14ac:dyDescent="0.35"/>
  <cols>
    <col min="1" max="1" width="59.54296875" bestFit="1" customWidth="1"/>
    <col min="2" max="2" width="20.54296875" bestFit="1" customWidth="1"/>
    <col min="3" max="3" width="16.453125" bestFit="1" customWidth="1"/>
    <col min="4" max="4" width="22" bestFit="1" customWidth="1"/>
    <col min="5" max="5" width="21.54296875" bestFit="1" customWidth="1"/>
    <col min="6" max="6" width="37.26953125" bestFit="1" customWidth="1"/>
    <col min="7" max="7" width="24.26953125" bestFit="1" customWidth="1"/>
    <col min="8" max="8" width="20.26953125" bestFit="1" customWidth="1"/>
    <col min="9" max="9" width="27.26953125" bestFit="1" customWidth="1"/>
    <col min="10" max="10" width="39.54296875" bestFit="1" customWidth="1"/>
    <col min="11" max="16" width="39.54296875" customWidth="1"/>
    <col min="17" max="17" width="19.453125" customWidth="1"/>
  </cols>
  <sheetData>
    <row r="1" spans="1:17" x14ac:dyDescent="0.35">
      <c r="A1" s="122" t="s">
        <v>549</v>
      </c>
      <c r="B1" s="131" t="s">
        <v>78</v>
      </c>
      <c r="C1" s="131" t="s">
        <v>25</v>
      </c>
      <c r="D1" s="131" t="s">
        <v>33</v>
      </c>
      <c r="E1" s="131" t="s">
        <v>39</v>
      </c>
      <c r="F1" s="131" t="s">
        <v>548</v>
      </c>
      <c r="G1" s="131" t="s">
        <v>186</v>
      </c>
      <c r="H1" s="131" t="s">
        <v>42</v>
      </c>
      <c r="I1" s="131" t="s">
        <v>79</v>
      </c>
      <c r="J1" s="131" t="s">
        <v>399</v>
      </c>
      <c r="K1" s="131" t="s">
        <v>261</v>
      </c>
      <c r="L1" s="131" t="s">
        <v>81</v>
      </c>
      <c r="M1" s="131" t="s">
        <v>340</v>
      </c>
      <c r="N1" s="131" t="s">
        <v>400</v>
      </c>
      <c r="O1" s="131" t="s">
        <v>398</v>
      </c>
      <c r="P1" s="131" t="s">
        <v>347</v>
      </c>
      <c r="Q1" s="163" t="s">
        <v>181</v>
      </c>
    </row>
    <row r="2" spans="1:17" x14ac:dyDescent="0.35">
      <c r="A2" s="20" t="s">
        <v>86</v>
      </c>
      <c r="B2" s="159">
        <f>('Scenario Potential Calculations'!$B$96*1000000)/4.64</f>
        <v>0</v>
      </c>
      <c r="C2" s="159">
        <f>('Scenario Potential Calculations'!$B$97*1000000)/4.64</f>
        <v>0</v>
      </c>
      <c r="D2" s="159">
        <f>('Scenario Potential Calculations'!$B$98*1000000)/4.64</f>
        <v>149702.42194827585</v>
      </c>
      <c r="E2" s="159">
        <f>('Scenario Potential Calculations'!$B$99*1000000)/4.64</f>
        <v>134467.38951724139</v>
      </c>
      <c r="F2" s="159">
        <f>('Scenario Potential Calculations'!$B$100*1000000)/4.64</f>
        <v>216572.29680162264</v>
      </c>
      <c r="G2" s="159">
        <f>('Scenario Potential Calculations'!$B$101*1000000)/4.64</f>
        <v>210389.666530819</v>
      </c>
      <c r="H2" s="159">
        <f>('Scenario Potential Calculations'!$B$102*1000000)/4.64</f>
        <v>0</v>
      </c>
      <c r="I2" s="159">
        <f>('Scenario Potential Calculations'!$B$103*1000000)/4.64</f>
        <v>0</v>
      </c>
      <c r="J2" s="159">
        <f>('Scenario Potential Calculations'!$B$104*1000000)/4.64</f>
        <v>0</v>
      </c>
      <c r="K2" s="159">
        <f>('Scenario Potential Calculations'!$B$105*1000000)/4.64</f>
        <v>0</v>
      </c>
      <c r="L2" s="159">
        <f>('Scenario Potential Calculations'!$B$106*1000000)/4.64</f>
        <v>278020.54988839867</v>
      </c>
      <c r="M2" s="159">
        <f>('Scenario Potential Calculations'!$B$107*1000000)/4.64</f>
        <v>285169.36163628614</v>
      </c>
      <c r="N2" s="159">
        <f>('Scenario Potential Calculations'!$B$108*1000000)/4.64</f>
        <v>215517.24137931035</v>
      </c>
      <c r="O2" s="159">
        <f>('Scenario Potential Calculations'!$B$109*1000000)/4.64</f>
        <v>146445.76661338625</v>
      </c>
      <c r="P2" s="159">
        <f>('Scenario Potential Calculations'!$B$110*1000000)/4.64</f>
        <v>0</v>
      </c>
      <c r="Q2" s="160">
        <f>SUM(B2:P2)</f>
        <v>1636284.6943153404</v>
      </c>
    </row>
    <row r="3" spans="1:17" x14ac:dyDescent="0.35">
      <c r="A3" s="20" t="s">
        <v>87</v>
      </c>
      <c r="B3" s="159">
        <f>('Scenario Potential Calculations'!$B$96*1000000)/0.000403</f>
        <v>0</v>
      </c>
      <c r="C3" s="159">
        <f>('Scenario Potential Calculations'!$B$97*1000000)/0.000403</f>
        <v>0</v>
      </c>
      <c r="D3" s="159">
        <f>('Scenario Potential Calculations'!$B$98*1000000)/0.000403</f>
        <v>1723620937.5682378</v>
      </c>
      <c r="E3" s="159">
        <f>('Scenario Potential Calculations'!$B$99*1000000)/0.000403</f>
        <v>1548210142.3325062</v>
      </c>
      <c r="F3" s="159">
        <f>('Scenario Potential Calculations'!$B$100*1000000)/0.000403</f>
        <v>2493537114.5397744</v>
      </c>
      <c r="G3" s="159">
        <f>('Scenario Potential Calculations'!$B$101*1000000)/0.000403</f>
        <v>2422352488.0967746</v>
      </c>
      <c r="H3" s="159">
        <f>('Scenario Potential Calculations'!$B$102*1000000)/0.000403</f>
        <v>0</v>
      </c>
      <c r="I3" s="159">
        <f>('Scenario Potential Calculations'!$B$103*1000000)/0.000403</f>
        <v>0</v>
      </c>
      <c r="J3" s="159">
        <f>('Scenario Potential Calculations'!$B$104*1000000)/0.000403</f>
        <v>0</v>
      </c>
      <c r="K3" s="159">
        <f>('Scenario Potential Calculations'!$B$105*1000000)/0.000403</f>
        <v>0</v>
      </c>
      <c r="L3" s="159">
        <f>('Scenario Potential Calculations'!$B$106*1000000)/0.000403</f>
        <v>3201030648.8391309</v>
      </c>
      <c r="M3" s="159">
        <f>('Scenario Potential Calculations'!$B$107*1000000)/0.000403</f>
        <v>3283339548.3681579</v>
      </c>
      <c r="N3" s="159">
        <f>('Scenario Potential Calculations'!$B$108*1000000)/0.000403</f>
        <v>2481389578.1637716</v>
      </c>
      <c r="O3" s="159">
        <f>('Scenario Potential Calculations'!$B$109*1000000)/0.000403</f>
        <v>1686124955.5486655</v>
      </c>
      <c r="P3" s="159">
        <f>('Scenario Potential Calculations'!$B$110*1000000)/0.000403</f>
        <v>0</v>
      </c>
      <c r="Q3" s="160">
        <f t="shared" ref="Q3:Q11" si="0">SUM(B3:P3)</f>
        <v>18839605413.457016</v>
      </c>
    </row>
    <row r="4" spans="1:17" x14ac:dyDescent="0.35">
      <c r="A4" s="20" t="s">
        <v>88</v>
      </c>
      <c r="B4" s="159">
        <f>('Scenario Potential Calculations'!$B$96*1000000)/5.139</f>
        <v>0</v>
      </c>
      <c r="C4" s="159">
        <f>('Scenario Potential Calculations'!$B$97*1000000)/5.139</f>
        <v>0</v>
      </c>
      <c r="D4" s="159">
        <f>('Scenario Potential Calculations'!$B$98*1000000)/5.139</f>
        <v>135166.22647207623</v>
      </c>
      <c r="E4" s="159">
        <f>('Scenario Potential Calculations'!$B$99*1000000)/5.139</f>
        <v>121410.52488032691</v>
      </c>
      <c r="F4" s="159">
        <f>('Scenario Potential Calculations'!$B$100*1000000)/5.139</f>
        <v>195542.99613923504</v>
      </c>
      <c r="G4" s="159">
        <f>('Scenario Potential Calculations'!$B$101*1000000)/5.139</f>
        <v>189960.70299727574</v>
      </c>
      <c r="H4" s="159">
        <f>('Scenario Potential Calculations'!$B$102*1000000)/5.139</f>
        <v>0</v>
      </c>
      <c r="I4" s="159">
        <f>('Scenario Potential Calculations'!$B$103*1000000)/5.139</f>
        <v>0</v>
      </c>
      <c r="J4" s="159">
        <f>('Scenario Potential Calculations'!$B$104*1000000)/5.139</f>
        <v>0</v>
      </c>
      <c r="K4" s="159">
        <f>('Scenario Potential Calculations'!$B$105*1000000)/5.139</f>
        <v>0</v>
      </c>
      <c r="L4" s="159">
        <f>('Scenario Potential Calculations'!$B$106*1000000)/5.139</f>
        <v>251024.58678384309</v>
      </c>
      <c r="M4" s="159">
        <f>('Scenario Potential Calculations'!$B$107*1000000)/5.139</f>
        <v>257479.24459863154</v>
      </c>
      <c r="N4" s="159">
        <f>('Scenario Potential Calculations'!$B$108*1000000)/5.139</f>
        <v>194590.38723487058</v>
      </c>
      <c r="O4" s="159">
        <f>('Scenario Potential Calculations'!$B$109*1000000)/5.139</f>
        <v>132225.79433471727</v>
      </c>
      <c r="P4" s="159">
        <f>('Scenario Potential Calculations'!$B$110*1000000)/5.139</f>
        <v>0</v>
      </c>
      <c r="Q4" s="160">
        <f t="shared" si="0"/>
        <v>1477400.4634409766</v>
      </c>
    </row>
    <row r="5" spans="1:17" x14ac:dyDescent="0.35">
      <c r="A5" s="20" t="s">
        <v>89</v>
      </c>
      <c r="B5" s="159">
        <f>('Scenario Potential Calculations'!$B$96*1000000)/7.94</f>
        <v>0</v>
      </c>
      <c r="C5" s="159">
        <f>('Scenario Potential Calculations'!$B$97*1000000)/7.94</f>
        <v>0</v>
      </c>
      <c r="D5" s="159">
        <f>('Scenario Potential Calculations'!$B$98*1000000)/7.94</f>
        <v>87483.531214105766</v>
      </c>
      <c r="E5" s="159">
        <f>('Scenario Potential Calculations'!$B$99*1000000)/7.94</f>
        <v>78580.439214105791</v>
      </c>
      <c r="F5" s="159">
        <f>('Scenario Potential Calculations'!$B$100*1000000)/7.94</f>
        <v>126561.14070019255</v>
      </c>
      <c r="G5" s="159">
        <f>('Scenario Potential Calculations'!$B$101*1000000)/7.94</f>
        <v>122948.11746889168</v>
      </c>
      <c r="H5" s="159">
        <f>('Scenario Potential Calculations'!$B$102*1000000)/7.94</f>
        <v>0</v>
      </c>
      <c r="I5" s="159">
        <f>('Scenario Potential Calculations'!$B$103*1000000)/7.94</f>
        <v>0</v>
      </c>
      <c r="J5" s="159">
        <f>('Scenario Potential Calculations'!$B$104*1000000)/7.94</f>
        <v>0</v>
      </c>
      <c r="K5" s="159">
        <f>('Scenario Potential Calculations'!$B$105*1000000)/7.94</f>
        <v>0</v>
      </c>
      <c r="L5" s="159">
        <f>('Scenario Potential Calculations'!$B$106*1000000)/7.94</f>
        <v>162470.44728994579</v>
      </c>
      <c r="M5" s="159">
        <f>('Scenario Potential Calculations'!$B$107*1000000)/7.94</f>
        <v>166648.09042725031</v>
      </c>
      <c r="N5" s="159">
        <f>('Scenario Potential Calculations'!$B$108*1000000)/7.94</f>
        <v>125944.58438287153</v>
      </c>
      <c r="O5" s="159">
        <f>('Scenario Potential Calculations'!$B$109*1000000)/7.94</f>
        <v>85580.397617898256</v>
      </c>
      <c r="P5" s="159">
        <f>('Scenario Potential Calculations'!$B$110*1000000)/7.94</f>
        <v>0</v>
      </c>
      <c r="Q5" s="160">
        <f t="shared" si="0"/>
        <v>956216.74831526168</v>
      </c>
    </row>
    <row r="6" spans="1:17" x14ac:dyDescent="0.35">
      <c r="A6" s="20" t="s">
        <v>90</v>
      </c>
      <c r="B6" s="159">
        <f>('Scenario Potential Calculations'!$B$96*1000000)/3735944.2</f>
        <v>0</v>
      </c>
      <c r="C6" s="159">
        <f>('Scenario Potential Calculations'!$B$97*1000000)/3735944.2</f>
        <v>0</v>
      </c>
      <c r="D6" s="159">
        <f>('Scenario Potential Calculations'!$B$98*1000000)/3735944.2</f>
        <v>0.18592869717914948</v>
      </c>
      <c r="E6" s="159">
        <f>('Scenario Potential Calculations'!$B$99*1000000)/3735944.2</f>
        <v>0.16700696101403226</v>
      </c>
      <c r="F6" s="159">
        <f>('Scenario Potential Calculations'!$B$100*1000000)/3735944.2</f>
        <v>0.26898031752174695</v>
      </c>
      <c r="G6" s="159">
        <f>('Scenario Potential Calculations'!$B$101*1000000)/3735944.2</f>
        <v>0.26130156138386651</v>
      </c>
      <c r="H6" s="159">
        <f>('Scenario Potential Calculations'!$B$102*1000000)/3735944.2</f>
        <v>0</v>
      </c>
      <c r="I6" s="159">
        <f>('Scenario Potential Calculations'!$B$103*1000000)/3735944.2</f>
        <v>0</v>
      </c>
      <c r="J6" s="159">
        <f>('Scenario Potential Calculations'!$B$104*1000000)/3735944.2</f>
        <v>0</v>
      </c>
      <c r="K6" s="159">
        <f>('Scenario Potential Calculations'!$B$105*1000000)/3735944.2</f>
        <v>0</v>
      </c>
      <c r="L6" s="159">
        <f>('Scenario Potential Calculations'!$B$106*1000000)/3735944.2</f>
        <v>0.34529834559150258</v>
      </c>
      <c r="M6" s="159">
        <f>('Scenario Potential Calculations'!$B$107*1000000)/3735944.2</f>
        <v>0.35417708808187431</v>
      </c>
      <c r="N6" s="159">
        <f>('Scenario Potential Calculations'!$B$108*1000000)/3735944.2</f>
        <v>0.26766995074498168</v>
      </c>
      <c r="O6" s="159">
        <f>('Scenario Potential Calculations'!$B$109*1000000)/3735944.2</f>
        <v>0.18188396847204305</v>
      </c>
      <c r="P6" s="159">
        <f>('Scenario Potential Calculations'!$B$110*1000000)/3735944.2</f>
        <v>0</v>
      </c>
      <c r="Q6" s="160">
        <f t="shared" si="0"/>
        <v>2.0322468899891968</v>
      </c>
    </row>
    <row r="7" spans="1:17" x14ac:dyDescent="0.35">
      <c r="A7" s="20" t="s">
        <v>91</v>
      </c>
      <c r="B7" s="159">
        <f>('Scenario Potential Calculations'!$B$96*1000000)/397959.7</f>
        <v>0</v>
      </c>
      <c r="C7" s="159">
        <f>('Scenario Potential Calculations'!$B$97*1000000)/397959.7</f>
        <v>0</v>
      </c>
      <c r="D7" s="159">
        <f>('Scenario Potential Calculations'!$B$98*1000000)/397959.7</f>
        <v>1.7454512048330517</v>
      </c>
      <c r="E7" s="159">
        <f>('Scenario Potential Calculations'!$B$99*1000000)/397959.7</f>
        <v>1.5678187699910318</v>
      </c>
      <c r="F7" s="159">
        <f>('Scenario Potential Calculations'!$B$100*1000000)/397959.7</f>
        <v>2.5251186418110398</v>
      </c>
      <c r="G7" s="159">
        <f>('Scenario Potential Calculations'!$B$101*1000000)/397959.7</f>
        <v>2.4530324369603256</v>
      </c>
      <c r="H7" s="159">
        <f>('Scenario Potential Calculations'!$B$102*1000000)/397959.7</f>
        <v>0</v>
      </c>
      <c r="I7" s="159">
        <f>('Scenario Potential Calculations'!$B$103*1000000)/397959.7</f>
        <v>0</v>
      </c>
      <c r="J7" s="159">
        <f>('Scenario Potential Calculations'!$B$104*1000000)/397959.7</f>
        <v>0</v>
      </c>
      <c r="K7" s="159">
        <f>('Scenario Potential Calculations'!$B$105*1000000)/397959.7</f>
        <v>0</v>
      </c>
      <c r="L7" s="159">
        <f>('Scenario Potential Calculations'!$B$106*1000000)/397959.7</f>
        <v>3.2415728313248042</v>
      </c>
      <c r="M7" s="159">
        <f>('Scenario Potential Calculations'!$B$107*1000000)/397959.7</f>
        <v>3.3249242021048051</v>
      </c>
      <c r="N7" s="159">
        <f>('Scenario Potential Calculations'!$B$108*1000000)/397959.7</f>
        <v>2.5128172526012054</v>
      </c>
      <c r="O7" s="159">
        <f>('Scenario Potential Calculations'!$B$109*1000000)/397959.7</f>
        <v>1.7074803229726832</v>
      </c>
      <c r="P7" s="159">
        <f>('Scenario Potential Calculations'!$B$110*1000000)/397959.7</f>
        <v>0</v>
      </c>
      <c r="Q7" s="160">
        <f t="shared" si="0"/>
        <v>19.078215662598947</v>
      </c>
    </row>
    <row r="8" spans="1:17" x14ac:dyDescent="0.35">
      <c r="A8" s="20" t="s">
        <v>92</v>
      </c>
      <c r="B8" s="159">
        <f>('Scenario Potential Calculations'!$B$96*1000000)/3679</f>
        <v>0</v>
      </c>
      <c r="C8" s="159">
        <f>('Scenario Potential Calculations'!$B$97*1000000)/3679</f>
        <v>0</v>
      </c>
      <c r="D8" s="159">
        <f>('Scenario Potential Calculations'!$B$98*1000000)/3679</f>
        <v>188.80653379722747</v>
      </c>
      <c r="E8" s="159">
        <f>('Scenario Potential Calculations'!$B$99*1000000)/3679</f>
        <v>169.59192371840174</v>
      </c>
      <c r="F8" s="159">
        <f>('Scenario Potential Calculations'!$B$100*1000000)/3679</f>
        <v>273.14364152202472</v>
      </c>
      <c r="G8" s="159">
        <f>('Scenario Potential Calculations'!$B$101*1000000)/3679</f>
        <v>265.3460322650177</v>
      </c>
      <c r="H8" s="159">
        <f>('Scenario Potential Calculations'!$B$102*1000000)/3679</f>
        <v>0</v>
      </c>
      <c r="I8" s="159">
        <f>('Scenario Potential Calculations'!$B$103*1000000)/3679</f>
        <v>0</v>
      </c>
      <c r="J8" s="159">
        <f>('Scenario Potential Calculations'!$B$104*1000000)/3679</f>
        <v>0</v>
      </c>
      <c r="K8" s="159">
        <f>('Scenario Potential Calculations'!$B$105*1000000)/3679</f>
        <v>0</v>
      </c>
      <c r="L8" s="159">
        <f>('Scenario Potential Calculations'!$B$106*1000000)/3679</f>
        <v>350.64293326506379</v>
      </c>
      <c r="M8" s="159">
        <f>('Scenario Potential Calculations'!$B$107*1000000)/3679</f>
        <v>359.65910247142364</v>
      </c>
      <c r="N8" s="159">
        <f>('Scenario Potential Calculations'!$B$108*1000000)/3679</f>
        <v>271.81299266104918</v>
      </c>
      <c r="O8" s="159">
        <f>('Scenario Potential Calculations'!$B$109*1000000)/3679</f>
        <v>184.69920007776901</v>
      </c>
      <c r="P8" s="159">
        <f>('Scenario Potential Calculations'!$B$110*1000000)/3679</f>
        <v>0</v>
      </c>
      <c r="Q8" s="160">
        <f t="shared" si="0"/>
        <v>2063.7023597779776</v>
      </c>
    </row>
    <row r="9" spans="1:17" x14ac:dyDescent="0.35">
      <c r="A9" s="20" t="s">
        <v>93</v>
      </c>
      <c r="B9" s="159">
        <f>('Scenario Potential Calculations'!$B$96*1000000)/0.00000822</f>
        <v>0</v>
      </c>
      <c r="C9" s="159">
        <f>('Scenario Potential Calculations'!$B$97*1000000)/0.00000822</f>
        <v>0</v>
      </c>
      <c r="D9" s="159">
        <f>('Scenario Potential Calculations'!$B$98*1000000)/0.00000822</f>
        <v>84503556914.841843</v>
      </c>
      <c r="E9" s="159">
        <f>('Scenario Potential Calculations'!$B$99*1000000)/0.00000822</f>
        <v>75903733255.474457</v>
      </c>
      <c r="F9" s="159">
        <f>('Scenario Potential Calculations'!$B$100*1000000)/0.00000822</f>
        <v>122250055615.51448</v>
      </c>
      <c r="G9" s="159">
        <f>('Scenario Potential Calculations'!$B$101*1000000)/0.00000822</f>
        <v>118760103735.15816</v>
      </c>
      <c r="H9" s="159">
        <f>('Scenario Potential Calculations'!$B$102*1000000)/0.00000822</f>
        <v>0</v>
      </c>
      <c r="I9" s="159">
        <f>('Scenario Potential Calculations'!$B$103*1000000)/0.00000822</f>
        <v>0</v>
      </c>
      <c r="J9" s="159">
        <f>('Scenario Potential Calculations'!$B$104*1000000)/0.00000822</f>
        <v>0</v>
      </c>
      <c r="K9" s="159">
        <f>('Scenario Potential Calculations'!$B$105*1000000)/0.00000822</f>
        <v>0</v>
      </c>
      <c r="L9" s="159">
        <f>('Scenario Potential Calculations'!$B$106*1000000)/0.00000822</f>
        <v>156936174146.24936</v>
      </c>
      <c r="M9" s="159">
        <f>('Scenario Potential Calculations'!$B$107*1000000)/0.00000822</f>
        <v>160971513137.75763</v>
      </c>
      <c r="N9" s="159">
        <f>('Scenario Potential Calculations'!$B$108*1000000)/0.00000822</f>
        <v>121654501216.54503</v>
      </c>
      <c r="O9" s="159">
        <f>('Scenario Potential Calculations'!$B$109*1000000)/0.00000822</f>
        <v>82665250253.784943</v>
      </c>
      <c r="P9" s="159">
        <f>('Scenario Potential Calculations'!$B$110*1000000)/0.00000822</f>
        <v>0</v>
      </c>
      <c r="Q9" s="160">
        <f t="shared" si="0"/>
        <v>923644888275.32581</v>
      </c>
    </row>
    <row r="10" spans="1:17" x14ac:dyDescent="0.35">
      <c r="A10" s="20" t="s">
        <v>94</v>
      </c>
      <c r="B10" s="159">
        <f>('Scenario Potential Calculations'!$B$96*1000000)/20.23</f>
        <v>0</v>
      </c>
      <c r="C10" s="159">
        <f>('Scenario Potential Calculations'!$B$97*1000000)/20.23</f>
        <v>0</v>
      </c>
      <c r="D10" s="159">
        <f>('Scenario Potential Calculations'!$B$98*1000000)/20.23</f>
        <v>34336.096779041021</v>
      </c>
      <c r="E10" s="159">
        <f>('Scenario Potential Calculations'!$B$99*1000000)/20.23</f>
        <v>30841.754194760255</v>
      </c>
      <c r="F10" s="159">
        <f>('Scenario Potential Calculations'!$B$100*1000000)/20.23</f>
        <v>49673.527294094361</v>
      </c>
      <c r="G10" s="159">
        <f>('Scenario Potential Calculations'!$B$101*1000000)/20.23</f>
        <v>48255.464790064259</v>
      </c>
      <c r="H10" s="159">
        <f>('Scenario Potential Calculations'!$B$102*1000000)/20.23</f>
        <v>0</v>
      </c>
      <c r="I10" s="159">
        <f>('Scenario Potential Calculations'!$B$103*1000000)/20.23</f>
        <v>0</v>
      </c>
      <c r="J10" s="159">
        <f>('Scenario Potential Calculations'!$B$104*1000000)/20.23</f>
        <v>0</v>
      </c>
      <c r="K10" s="159">
        <f>('Scenario Potential Calculations'!$B$105*1000000)/20.23</f>
        <v>0</v>
      </c>
      <c r="L10" s="159">
        <f>('Scenario Potential Calculations'!$B$106*1000000)/20.23</f>
        <v>63767.441991209576</v>
      </c>
      <c r="M10" s="159">
        <f>('Scenario Potential Calculations'!$B$107*1000000)/20.23</f>
        <v>65407.110133087866</v>
      </c>
      <c r="N10" s="159">
        <f>('Scenario Potential Calculations'!$B$108*1000000)/20.23</f>
        <v>49431.537320810676</v>
      </c>
      <c r="O10" s="159">
        <f>('Scenario Potential Calculations'!$B$109*1000000)/20.23</f>
        <v>33589.142713104899</v>
      </c>
      <c r="P10" s="159">
        <f>('Scenario Potential Calculations'!$B$110*1000000)/20.23</f>
        <v>0</v>
      </c>
      <c r="Q10" s="160">
        <f t="shared" si="0"/>
        <v>375302.0752161729</v>
      </c>
    </row>
    <row r="11" spans="1:17" ht="15" thickBot="1" x14ac:dyDescent="0.4">
      <c r="A11" s="22" t="s">
        <v>95</v>
      </c>
      <c r="B11" s="161">
        <f>('Scenario Potential Calculations'!$B$96*1000000)/0.0264</f>
        <v>0</v>
      </c>
      <c r="C11" s="161">
        <f>('Scenario Potential Calculations'!$B$97*1000000)/0.0264</f>
        <v>0</v>
      </c>
      <c r="D11" s="161">
        <f>('Scenario Potential Calculations'!$B$98*1000000)/0.0264</f>
        <v>26311334.766666662</v>
      </c>
      <c r="E11" s="161">
        <f>('Scenario Potential Calculations'!$B$99*1000000)/0.0264</f>
        <v>23633662.399999999</v>
      </c>
      <c r="F11" s="161">
        <f>('Scenario Potential Calculations'!$B$100*1000000)/0.0264</f>
        <v>38064221.862103373</v>
      </c>
      <c r="G11" s="161">
        <f>('Scenario Potential Calculations'!$B$101*1000000)/0.0264</f>
        <v>36977577.753901519</v>
      </c>
      <c r="H11" s="161">
        <f>('Scenario Potential Calculations'!$B$102*1000000)/0.0264</f>
        <v>0</v>
      </c>
      <c r="I11" s="161">
        <f>('Scenario Potential Calculations'!$B$103*1000000)/0.0264</f>
        <v>0</v>
      </c>
      <c r="J11" s="161">
        <f>('Scenario Potential Calculations'!$B$104*1000000)/0.0264</f>
        <v>0</v>
      </c>
      <c r="K11" s="161">
        <f>('Scenario Potential Calculations'!$B$105*1000000)/0.0264</f>
        <v>0</v>
      </c>
      <c r="L11" s="161">
        <f>('Scenario Potential Calculations'!$B$106*1000000)/0.0264</f>
        <v>48864217.859173097</v>
      </c>
      <c r="M11" s="161">
        <f>('Scenario Potential Calculations'!$B$107*1000000)/0.0264</f>
        <v>50120675.681529075</v>
      </c>
      <c r="N11" s="161">
        <f>('Scenario Potential Calculations'!$B$108*1000000)/0.0264</f>
        <v>37878787.878787883</v>
      </c>
      <c r="O11" s="161">
        <f>('Scenario Potential Calculations'!$B$109*1000000)/0.0264</f>
        <v>25738952.919928491</v>
      </c>
      <c r="P11" s="161">
        <f>('Scenario Potential Calculations'!$B$110*1000000)/0.0264</f>
        <v>0</v>
      </c>
      <c r="Q11" s="162">
        <f t="shared" si="0"/>
        <v>287589431.1220901</v>
      </c>
    </row>
    <row r="13" spans="1:17" ht="15" thickBot="1" x14ac:dyDescent="0.4"/>
    <row r="14" spans="1:17" x14ac:dyDescent="0.35">
      <c r="A14" s="122" t="s">
        <v>550</v>
      </c>
      <c r="B14" s="131" t="s">
        <v>78</v>
      </c>
      <c r="C14" s="131" t="s">
        <v>25</v>
      </c>
      <c r="D14" s="131" t="s">
        <v>33</v>
      </c>
      <c r="E14" s="131" t="s">
        <v>39</v>
      </c>
      <c r="F14" s="131" t="s">
        <v>548</v>
      </c>
      <c r="G14" s="131" t="s">
        <v>186</v>
      </c>
      <c r="H14" s="131" t="s">
        <v>42</v>
      </c>
      <c r="I14" s="131" t="s">
        <v>79</v>
      </c>
      <c r="J14" s="131" t="s">
        <v>399</v>
      </c>
      <c r="K14" s="131" t="s">
        <v>261</v>
      </c>
      <c r="L14" s="131" t="s">
        <v>81</v>
      </c>
      <c r="M14" s="131" t="s">
        <v>340</v>
      </c>
      <c r="N14" s="131" t="s">
        <v>400</v>
      </c>
      <c r="O14" s="131" t="s">
        <v>398</v>
      </c>
      <c r="P14" s="131" t="s">
        <v>347</v>
      </c>
      <c r="Q14" s="163" t="s">
        <v>181</v>
      </c>
    </row>
    <row r="15" spans="1:17" x14ac:dyDescent="0.35">
      <c r="A15" s="20" t="s">
        <v>86</v>
      </c>
      <c r="B15" s="159">
        <f>('Scenario Potential Calculations'!$C$96*1000000)/4.64</f>
        <v>87264.981805388801</v>
      </c>
      <c r="C15" s="159">
        <f>('Scenario Potential Calculations'!$C$97*1000000)/4.64</f>
        <v>3790.7319584364618</v>
      </c>
      <c r="D15" s="159">
        <f>('Scenario Potential Calculations'!$C$98*1000000)/4.64</f>
        <v>286779.33843103453</v>
      </c>
      <c r="E15" s="159">
        <f>('Scenario Potential Calculations'!$C$99*1000000)/4.64</f>
        <v>498649.90279310342</v>
      </c>
      <c r="F15" s="159">
        <f>('Scenario Potential Calculations'!$C$100*1000000)/4.64</f>
        <v>360953.82800270448</v>
      </c>
      <c r="G15" s="159">
        <f>('Scenario Potential Calculations'!$C$101*1000000)/4.64</f>
        <v>376102.87082974135</v>
      </c>
      <c r="H15" s="159">
        <f>('Scenario Potential Calculations'!$C$102*1000000)/4.64</f>
        <v>105445.12370689656</v>
      </c>
      <c r="I15" s="159">
        <f>('Scenario Potential Calculations'!$C$103*1000000)/4.64</f>
        <v>55644.324999999983</v>
      </c>
      <c r="J15" s="159">
        <f>('Scenario Potential Calculations'!$C$104*1000000)/4.64</f>
        <v>0</v>
      </c>
      <c r="K15" s="159">
        <f>('Scenario Potential Calculations'!$C$105*1000000)/4.64</f>
        <v>60325.514257106894</v>
      </c>
      <c r="L15" s="159">
        <f>('Scenario Potential Calculations'!$C$106*1000000)/4.64</f>
        <v>278020.54988839867</v>
      </c>
      <c r="M15" s="159">
        <f>('Scenario Potential Calculations'!$C$107*1000000)/4.64</f>
        <v>285169.36163628614</v>
      </c>
      <c r="N15" s="159">
        <f>('Scenario Potential Calculations'!$C$108*1000000)/4.64</f>
        <v>431034.4827586207</v>
      </c>
      <c r="O15" s="159">
        <f>('Scenario Potential Calculations'!$C$109*1000000)/4.64</f>
        <v>146445.76661338625</v>
      </c>
      <c r="P15" s="159">
        <f>('Scenario Potential Calculations'!$C$110*1000000)/4.64</f>
        <v>0</v>
      </c>
      <c r="Q15" s="160">
        <f>SUM(B15:P15)</f>
        <v>2975626.7776811039</v>
      </c>
    </row>
    <row r="16" spans="1:17" x14ac:dyDescent="0.35">
      <c r="A16" s="20" t="s">
        <v>87</v>
      </c>
      <c r="B16" s="159">
        <f>('Scenario Potential Calculations'!$C$96*1000000)/0.000403</f>
        <v>1004738252.0521191</v>
      </c>
      <c r="C16" s="159">
        <f>('Scenario Potential Calculations'!$C$97*1000000)/0.000403</f>
        <v>43645152.07728333</v>
      </c>
      <c r="D16" s="159">
        <f>('Scenario Potential Calculations'!$C$98*1000000)/0.000403</f>
        <v>3301876253.895782</v>
      </c>
      <c r="E16" s="159">
        <f>('Scenario Potential Calculations'!$C$99*1000000)/0.000403</f>
        <v>5741279277.8163767</v>
      </c>
      <c r="F16" s="159">
        <f>('Scenario Potential Calculations'!$C$100*1000000)/0.000403</f>
        <v>4155895190.8996243</v>
      </c>
      <c r="G16" s="159">
        <f>('Scenario Potential Calculations'!$C$101*1000000)/0.000403</f>
        <v>4330315932.1339951</v>
      </c>
      <c r="H16" s="159">
        <f>('Scenario Potential Calculations'!$C$102*1000000)/0.000403</f>
        <v>1214058000</v>
      </c>
      <c r="I16" s="159">
        <f>('Scenario Potential Calculations'!$C$103*1000000)/0.000403</f>
        <v>640669151.36476409</v>
      </c>
      <c r="J16" s="159">
        <f>('Scenario Potential Calculations'!$C$104*1000000)/0.000403</f>
        <v>0</v>
      </c>
      <c r="K16" s="159">
        <f>('Scenario Potential Calculations'!$C$105*1000000)/0.000403</f>
        <v>694566715.01979148</v>
      </c>
      <c r="L16" s="159">
        <f>('Scenario Potential Calculations'!$C$106*1000000)/0.000403</f>
        <v>3201030648.8391309</v>
      </c>
      <c r="M16" s="159">
        <f>('Scenario Potential Calculations'!$C$107*1000000)/0.000403</f>
        <v>3283339548.3681579</v>
      </c>
      <c r="N16" s="159">
        <f>('Scenario Potential Calculations'!$C$108*1000000)/0.000403</f>
        <v>4962779156.3275433</v>
      </c>
      <c r="O16" s="159">
        <f>('Scenario Potential Calculations'!$C$109*1000000)/0.000403</f>
        <v>1686124955.5486655</v>
      </c>
      <c r="P16" s="159">
        <f>('Scenario Potential Calculations'!$C$110*1000000)/0.000403</f>
        <v>0</v>
      </c>
      <c r="Q16" s="160">
        <f t="shared" ref="Q16:Q24" si="1">SUM(B16:P16)</f>
        <v>34260318234.343227</v>
      </c>
    </row>
    <row r="17" spans="1:17" x14ac:dyDescent="0.35">
      <c r="A17" s="20" t="s">
        <v>88</v>
      </c>
      <c r="B17" s="159">
        <f>('Scenario Potential Calculations'!$C$96*1000000)/5.139</f>
        <v>78791.499431213073</v>
      </c>
      <c r="C17" s="159">
        <f>('Scenario Potential Calculations'!$C$97*1000000)/5.139</f>
        <v>3422.6495985882821</v>
      </c>
      <c r="D17" s="159">
        <f>('Scenario Potential Calculations'!$C$98*1000000)/5.139</f>
        <v>258932.89167542322</v>
      </c>
      <c r="E17" s="159">
        <f>('Scenario Potential Calculations'!$C$99*1000000)/5.139</f>
        <v>450230.69643121224</v>
      </c>
      <c r="F17" s="159">
        <f>('Scenario Potential Calculations'!$C$100*1000000)/5.139</f>
        <v>325904.99356539181</v>
      </c>
      <c r="G17" s="159">
        <f>('Scenario Potential Calculations'!$C$101*1000000)/5.139</f>
        <v>339583.0551955633</v>
      </c>
      <c r="H17" s="159">
        <f>('Scenario Potential Calculations'!$C$102*1000000)/5.139</f>
        <v>95206.338587273785</v>
      </c>
      <c r="I17" s="159">
        <f>('Scenario Potential Calculations'!$C$103*1000000)/5.139</f>
        <v>50241.227476162661</v>
      </c>
      <c r="J17" s="159">
        <f>('Scenario Potential Calculations'!$C$104*1000000)/5.139</f>
        <v>0</v>
      </c>
      <c r="K17" s="159">
        <f>('Scenario Potential Calculations'!$C$105*1000000)/5.139</f>
        <v>54467.870432569747</v>
      </c>
      <c r="L17" s="159">
        <f>('Scenario Potential Calculations'!$C$106*1000000)/5.139</f>
        <v>251024.58678384309</v>
      </c>
      <c r="M17" s="159">
        <f>('Scenario Potential Calculations'!$C$107*1000000)/5.139</f>
        <v>257479.24459863154</v>
      </c>
      <c r="N17" s="159">
        <f>('Scenario Potential Calculations'!$C$108*1000000)/5.139</f>
        <v>389180.77446974115</v>
      </c>
      <c r="O17" s="159">
        <f>('Scenario Potential Calculations'!$C$109*1000000)/5.139</f>
        <v>132225.79433471727</v>
      </c>
      <c r="P17" s="159">
        <f>('Scenario Potential Calculations'!$C$110*1000000)/5.139</f>
        <v>0</v>
      </c>
      <c r="Q17" s="160">
        <f t="shared" si="1"/>
        <v>2686691.6225803308</v>
      </c>
    </row>
    <row r="18" spans="1:17" x14ac:dyDescent="0.35">
      <c r="A18" s="20" t="s">
        <v>89</v>
      </c>
      <c r="B18" s="159">
        <f>('Scenario Potential Calculations'!$C$96*1000000)/7.94</f>
        <v>50996.160652015613</v>
      </c>
      <c r="C18" s="159">
        <f>('Scenario Potential Calculations'!$C$97*1000000)/7.94</f>
        <v>2215.2388270963706</v>
      </c>
      <c r="D18" s="159">
        <f>('Scenario Potential Calculations'!$C$98*1000000)/7.94</f>
        <v>167588.93328967254</v>
      </c>
      <c r="E18" s="159">
        <f>('Scenario Potential Calculations'!$C$99*1000000)/7.94</f>
        <v>291402.46208564227</v>
      </c>
      <c r="F18" s="159">
        <f>('Scenario Potential Calculations'!$C$100*1000000)/7.94</f>
        <v>210935.23450032098</v>
      </c>
      <c r="G18" s="159">
        <f>('Scenario Potential Calculations'!$C$101*1000000)/7.94</f>
        <v>219788.07564861458</v>
      </c>
      <c r="H18" s="159">
        <f>('Scenario Potential Calculations'!$C$102*1000000)/7.94</f>
        <v>61620.3241813602</v>
      </c>
      <c r="I18" s="159">
        <f>('Scenario Potential Calculations'!$C$103*1000000)/7.94</f>
        <v>32517.590428211573</v>
      </c>
      <c r="J18" s="159">
        <f>('Scenario Potential Calculations'!$C$104*1000000)/7.94</f>
        <v>0</v>
      </c>
      <c r="K18" s="159">
        <f>('Scenario Potential Calculations'!$C$105*1000000)/7.94</f>
        <v>35253.197248485638</v>
      </c>
      <c r="L18" s="159">
        <f>('Scenario Potential Calculations'!$C$106*1000000)/7.94</f>
        <v>162470.44728994579</v>
      </c>
      <c r="M18" s="159">
        <f>('Scenario Potential Calculations'!$C$107*1000000)/7.94</f>
        <v>166648.09042725031</v>
      </c>
      <c r="N18" s="159">
        <f>('Scenario Potential Calculations'!$C$108*1000000)/7.94</f>
        <v>251889.16876574306</v>
      </c>
      <c r="O18" s="159">
        <f>('Scenario Potential Calculations'!$C$109*1000000)/7.94</f>
        <v>85580.397617898256</v>
      </c>
      <c r="P18" s="159">
        <f>('Scenario Potential Calculations'!$C$110*1000000)/7.94</f>
        <v>0</v>
      </c>
      <c r="Q18" s="160">
        <f t="shared" si="1"/>
        <v>1738905.3209622572</v>
      </c>
    </row>
    <row r="19" spans="1:17" x14ac:dyDescent="0.35">
      <c r="A19" s="20" t="s">
        <v>90</v>
      </c>
      <c r="B19" s="159">
        <f>('Scenario Potential Calculations'!$C$96*1000000)/3735944.2</f>
        <v>0.10838211009067104</v>
      </c>
      <c r="C19" s="159">
        <f>('Scenario Potential Calculations'!$C$97*1000000)/3735944.2</f>
        <v>4.7080457698338166E-3</v>
      </c>
      <c r="D19" s="159">
        <f>('Scenario Potential Calculations'!$C$98*1000000)/3735944.2</f>
        <v>0.35617666086126232</v>
      </c>
      <c r="E19" s="159">
        <f>('Scenario Potential Calculations'!$C$99*1000000)/3735944.2</f>
        <v>0.61931748042703627</v>
      </c>
      <c r="F19" s="159">
        <f>('Scenario Potential Calculations'!$C$100*1000000)/3735944.2</f>
        <v>0.44830052920291169</v>
      </c>
      <c r="G19" s="159">
        <f>('Scenario Potential Calculations'!$C$101*1000000)/3735944.2</f>
        <v>0.46711546726259984</v>
      </c>
      <c r="H19" s="159">
        <f>('Scenario Potential Calculations'!$C$102*1000000)/3735944.2</f>
        <v>0.13096163855980503</v>
      </c>
      <c r="I19" s="159">
        <f>('Scenario Potential Calculations'!$C$103*1000000)/3735944.2</f>
        <v>6.9109615716423142E-2</v>
      </c>
      <c r="J19" s="159">
        <f>('Scenario Potential Calculations'!$C$104*1000000)/3735944.2</f>
        <v>0</v>
      </c>
      <c r="K19" s="159">
        <f>('Scenario Potential Calculations'!$C$105*1000000)/3735944.2</f>
        <v>7.4923599274575869E-2</v>
      </c>
      <c r="L19" s="159">
        <f>('Scenario Potential Calculations'!$C$106*1000000)/3735944.2</f>
        <v>0.34529834559150258</v>
      </c>
      <c r="M19" s="159">
        <f>('Scenario Potential Calculations'!$C$107*1000000)/3735944.2</f>
        <v>0.35417708808187431</v>
      </c>
      <c r="N19" s="159">
        <f>('Scenario Potential Calculations'!$C$108*1000000)/3735944.2</f>
        <v>0.53533990148996335</v>
      </c>
      <c r="O19" s="159">
        <f>('Scenario Potential Calculations'!$C$109*1000000)/3735944.2</f>
        <v>0.18188396847204305</v>
      </c>
      <c r="P19" s="159">
        <f>('Scenario Potential Calculations'!$C$110*1000000)/3735944.2</f>
        <v>0</v>
      </c>
      <c r="Q19" s="160">
        <f t="shared" si="1"/>
        <v>3.6956944508005023</v>
      </c>
    </row>
    <row r="20" spans="1:17" x14ac:dyDescent="0.35">
      <c r="A20" s="20" t="s">
        <v>91</v>
      </c>
      <c r="B20" s="159">
        <f>('Scenario Potential Calculations'!$C$96*1000000)/397959.7</f>
        <v>1.0174636164842923</v>
      </c>
      <c r="C20" s="159">
        <f>('Scenario Potential Calculations'!$C$97*1000000)/397959.7</f>
        <v>4.4197933326276966E-2</v>
      </c>
      <c r="D20" s="159">
        <f>('Scenario Potential Calculations'!$C$98*1000000)/397959.7</f>
        <v>3.3436956815476542</v>
      </c>
      <c r="E20" s="159">
        <f>('Scenario Potential Calculations'!$C$99*1000000)/397959.7</f>
        <v>5.8139946053834084</v>
      </c>
      <c r="F20" s="159">
        <f>('Scenario Potential Calculations'!$C$100*1000000)/397959.7</f>
        <v>4.2085310696850673</v>
      </c>
      <c r="G20" s="159">
        <f>('Scenario Potential Calculations'!$C$101*1000000)/397959.7</f>
        <v>4.3851609111425098</v>
      </c>
      <c r="H20" s="159">
        <f>('Scenario Potential Calculations'!$C$102*1000000)/397959.7</f>
        <v>1.2294344728875812</v>
      </c>
      <c r="I20" s="159">
        <f>('Scenario Potential Calculations'!$C$103*1000000)/397959.7</f>
        <v>0.6487834521937772</v>
      </c>
      <c r="J20" s="159">
        <f>('Scenario Potential Calculations'!$C$104*1000000)/397959.7</f>
        <v>0</v>
      </c>
      <c r="K20" s="159">
        <f>('Scenario Potential Calculations'!$C$105*1000000)/397959.7</f>
        <v>0.70336364750746361</v>
      </c>
      <c r="L20" s="159">
        <f>('Scenario Potential Calculations'!$C$106*1000000)/397959.7</f>
        <v>3.2415728313248042</v>
      </c>
      <c r="M20" s="159">
        <f>('Scenario Potential Calculations'!$C$107*1000000)/397959.7</f>
        <v>3.3249242021048051</v>
      </c>
      <c r="N20" s="159">
        <f>('Scenario Potential Calculations'!$C$108*1000000)/397959.7</f>
        <v>5.0256345052024107</v>
      </c>
      <c r="O20" s="159">
        <f>('Scenario Potential Calculations'!$C$109*1000000)/397959.7</f>
        <v>1.7074803229726832</v>
      </c>
      <c r="P20" s="159">
        <f>('Scenario Potential Calculations'!$C$110*1000000)/397959.7</f>
        <v>0</v>
      </c>
      <c r="Q20" s="160">
        <f t="shared" si="1"/>
        <v>34.694237251762736</v>
      </c>
    </row>
    <row r="21" spans="1:17" x14ac:dyDescent="0.35">
      <c r="A21" s="20" t="s">
        <v>92</v>
      </c>
      <c r="B21" s="159">
        <f>('Scenario Potential Calculations'!$C$96*1000000)/3679</f>
        <v>110.05966718592117</v>
      </c>
      <c r="C21" s="159">
        <f>('Scenario Potential Calculations'!$C$97*1000000)/3679</f>
        <v>4.780917718713015</v>
      </c>
      <c r="D21" s="159">
        <f>('Scenario Potential Calculations'!$C$98*1000000)/3679</f>
        <v>361.68962498505027</v>
      </c>
      <c r="E21" s="159">
        <f>('Scenario Potential Calculations'!$C$99*1000000)/3679</f>
        <v>628.90338378907302</v>
      </c>
      <c r="F21" s="159">
        <f>('Scenario Potential Calculations'!$C$100*1000000)/3679</f>
        <v>455.23940253670798</v>
      </c>
      <c r="G21" s="159">
        <f>('Scenario Potential Calculations'!$C$101*1000000)/3679</f>
        <v>474.34556147050824</v>
      </c>
      <c r="H21" s="159">
        <f>('Scenario Potential Calculations'!$C$102*1000000)/3679</f>
        <v>132.98868551236748</v>
      </c>
      <c r="I21" s="159">
        <f>('Scenario Potential Calculations'!$C$103*1000000)/3679</f>
        <v>70.179306333242707</v>
      </c>
      <c r="J21" s="159">
        <f>('Scenario Potential Calculations'!$C$104*1000000)/3679</f>
        <v>0</v>
      </c>
      <c r="K21" s="159">
        <f>('Scenario Potential Calculations'!$C$105*1000000)/3679</f>
        <v>76.083279737150306</v>
      </c>
      <c r="L21" s="159">
        <f>('Scenario Potential Calculations'!$C$106*1000000)/3679</f>
        <v>350.64293326506379</v>
      </c>
      <c r="M21" s="159">
        <f>('Scenario Potential Calculations'!$C$107*1000000)/3679</f>
        <v>359.65910247142364</v>
      </c>
      <c r="N21" s="159">
        <f>('Scenario Potential Calculations'!$C$108*1000000)/3679</f>
        <v>543.62598532209836</v>
      </c>
      <c r="O21" s="159">
        <f>('Scenario Potential Calculations'!$C$109*1000000)/3679</f>
        <v>184.69920007776901</v>
      </c>
      <c r="P21" s="159">
        <f>('Scenario Potential Calculations'!$C$110*1000000)/3679</f>
        <v>0</v>
      </c>
      <c r="Q21" s="160">
        <f t="shared" si="1"/>
        <v>3752.8970504050885</v>
      </c>
    </row>
    <row r="22" spans="1:17" x14ac:dyDescent="0.35">
      <c r="A22" s="20" t="s">
        <v>93</v>
      </c>
      <c r="B22" s="159">
        <f>('Scenario Potential Calculations'!$C$96*1000000)/0.00000822</f>
        <v>49259065155.353287</v>
      </c>
      <c r="C22" s="159">
        <f>('Scenario Potential Calculations'!$C$97*1000000)/0.00000822</f>
        <v>2139780570.2123096</v>
      </c>
      <c r="D22" s="159">
        <f>('Scenario Potential Calculations'!$C$98*1000000)/0.00000822</f>
        <v>161880307824.81754</v>
      </c>
      <c r="E22" s="159">
        <f>('Scenario Potential Calculations'!$C$99*1000000)/0.00000822</f>
        <v>281476344155.71777</v>
      </c>
      <c r="F22" s="159">
        <f>('Scenario Potential Calculations'!$C$100*1000000)/0.00000822</f>
        <v>203750092692.52417</v>
      </c>
      <c r="G22" s="159">
        <f>('Scenario Potential Calculations'!$C$101*1000000)/0.00000822</f>
        <v>212301377208.02921</v>
      </c>
      <c r="H22" s="159">
        <f>('Scenario Potential Calculations'!$C$102*1000000)/0.00000822</f>
        <v>59521335036.496361</v>
      </c>
      <c r="I22" s="159">
        <f>('Scenario Potential Calculations'!$C$103*1000000)/0.00000822</f>
        <v>31409935279.805347</v>
      </c>
      <c r="J22" s="159">
        <f>('Scenario Potential Calculations'!$C$104*1000000)/0.00000822</f>
        <v>0</v>
      </c>
      <c r="K22" s="159">
        <f>('Scenario Potential Calculations'!$C$105*1000000)/0.00000822</f>
        <v>34052358412.770802</v>
      </c>
      <c r="L22" s="159">
        <f>('Scenario Potential Calculations'!$C$106*1000000)/0.00000822</f>
        <v>156936174146.24936</v>
      </c>
      <c r="M22" s="159">
        <f>('Scenario Potential Calculations'!$C$107*1000000)/0.00000822</f>
        <v>160971513137.75763</v>
      </c>
      <c r="N22" s="159">
        <f>('Scenario Potential Calculations'!$C$108*1000000)/0.00000822</f>
        <v>243309002433.09006</v>
      </c>
      <c r="O22" s="159">
        <f>('Scenario Potential Calculations'!$C$109*1000000)/0.00000822</f>
        <v>82665250253.784943</v>
      </c>
      <c r="P22" s="159">
        <f>('Scenario Potential Calculations'!$C$110*1000000)/0.00000822</f>
        <v>0</v>
      </c>
      <c r="Q22" s="160">
        <f t="shared" si="1"/>
        <v>1679672536306.6084</v>
      </c>
    </row>
    <row r="23" spans="1:17" x14ac:dyDescent="0.35">
      <c r="A23" s="20" t="s">
        <v>94</v>
      </c>
      <c r="B23" s="159">
        <f>('Scenario Potential Calculations'!$C$96*1000000)/20.23</f>
        <v>20015.299830796044</v>
      </c>
      <c r="C23" s="159">
        <f>('Scenario Potential Calculations'!$C$97*1000000)/20.23</f>
        <v>869.45112640361754</v>
      </c>
      <c r="D23" s="159">
        <f>('Scenario Potential Calculations'!$C$98*1000000)/20.23</f>
        <v>65776.378167078597</v>
      </c>
      <c r="E23" s="159">
        <f>('Scenario Potential Calculations'!$C$99*1000000)/20.23</f>
        <v>114371.5051389026</v>
      </c>
      <c r="F23" s="159">
        <f>('Scenario Potential Calculations'!$C$100*1000000)/20.23</f>
        <v>82789.212156823953</v>
      </c>
      <c r="G23" s="159">
        <f>('Scenario Potential Calculations'!$C$101*1000000)/20.23</f>
        <v>86263.831964903598</v>
      </c>
      <c r="H23" s="159">
        <f>('Scenario Potential Calculations'!$C$102*1000000)/20.23</f>
        <v>24185.139594661396</v>
      </c>
      <c r="I23" s="159">
        <f>('Scenario Potential Calculations'!$C$103*1000000)/20.23</f>
        <v>12762.712209589714</v>
      </c>
      <c r="J23" s="159">
        <f>('Scenario Potential Calculations'!$C$104*1000000)/20.23</f>
        <v>0</v>
      </c>
      <c r="K23" s="159">
        <f>('Scenario Potential Calculations'!$C$105*1000000)/20.23</f>
        <v>13836.400699603359</v>
      </c>
      <c r="L23" s="159">
        <f>('Scenario Potential Calculations'!$C$106*1000000)/20.23</f>
        <v>63767.441991209576</v>
      </c>
      <c r="M23" s="159">
        <f>('Scenario Potential Calculations'!$C$107*1000000)/20.23</f>
        <v>65407.110133087866</v>
      </c>
      <c r="N23" s="159">
        <f>('Scenario Potential Calculations'!$C$108*1000000)/20.23</f>
        <v>98863.074641621351</v>
      </c>
      <c r="O23" s="159">
        <f>('Scenario Potential Calculations'!$C$109*1000000)/20.23</f>
        <v>33589.142713104899</v>
      </c>
      <c r="P23" s="159">
        <f>('Scenario Potential Calculations'!$C$110*1000000)/20.23</f>
        <v>0</v>
      </c>
      <c r="Q23" s="160">
        <f t="shared" si="1"/>
        <v>682496.70036778669</v>
      </c>
    </row>
    <row r="24" spans="1:17" ht="15" thickBot="1" x14ac:dyDescent="0.4">
      <c r="A24" s="22" t="s">
        <v>95</v>
      </c>
      <c r="B24" s="161">
        <f>('Scenario Potential Calculations'!$C$96*1000000)/0.0264</f>
        <v>15337481.650644092</v>
      </c>
      <c r="C24" s="161">
        <f>('Scenario Potential Calculations'!$C$97*1000000)/0.0264</f>
        <v>666249.85936155997</v>
      </c>
      <c r="D24" s="161">
        <f>('Scenario Potential Calculations'!$C$98*1000000)/0.0264</f>
        <v>50403641.299999997</v>
      </c>
      <c r="E24" s="161">
        <f>('Scenario Potential Calculations'!$C$99*1000000)/0.0264</f>
        <v>87641498.066666663</v>
      </c>
      <c r="F24" s="161">
        <f>('Scenario Potential Calculations'!$C$100*1000000)/0.0264</f>
        <v>63440369.770172298</v>
      </c>
      <c r="G24" s="161">
        <f>('Scenario Potential Calculations'!$C$101*1000000)/0.0264</f>
        <v>66102928.8125</v>
      </c>
      <c r="H24" s="161">
        <f>('Scenario Potential Calculations'!$C$102*1000000)/0.0264</f>
        <v>18532779.31818182</v>
      </c>
      <c r="I24" s="161">
        <f>('Scenario Potential Calculations'!$C$103*1000000)/0.0264</f>
        <v>9779911.6666666642</v>
      </c>
      <c r="J24" s="161">
        <f>('Scenario Potential Calculations'!$C$104*1000000)/0.0264</f>
        <v>0</v>
      </c>
      <c r="K24" s="161">
        <f>('Scenario Potential Calculations'!$C$105*1000000)/0.0264</f>
        <v>10602666.14215818</v>
      </c>
      <c r="L24" s="161">
        <f>('Scenario Potential Calculations'!$C$106*1000000)/0.0264</f>
        <v>48864217.859173097</v>
      </c>
      <c r="M24" s="161">
        <f>('Scenario Potential Calculations'!$C$107*1000000)/0.0264</f>
        <v>50120675.681529075</v>
      </c>
      <c r="N24" s="161">
        <f>('Scenario Potential Calculations'!$C$108*1000000)/0.0264</f>
        <v>75757575.757575765</v>
      </c>
      <c r="O24" s="161">
        <f>('Scenario Potential Calculations'!$C$109*1000000)/0.0264</f>
        <v>25738952.919928491</v>
      </c>
      <c r="P24" s="161">
        <f>('Scenario Potential Calculations'!$C$110*1000000)/0.0264</f>
        <v>0</v>
      </c>
      <c r="Q24" s="162">
        <f t="shared" si="1"/>
        <v>522988948.80455774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90795-8931-4D7A-A9EC-D220FA66AA9B}">
  <dimension ref="A1:I157"/>
  <sheetViews>
    <sheetView topLeftCell="A90" zoomScale="90" zoomScaleNormal="90" workbookViewId="0">
      <selection activeCell="A95" sqref="A94:C111"/>
    </sheetView>
  </sheetViews>
  <sheetFormatPr defaultColWidth="8.81640625" defaultRowHeight="14.5" x14ac:dyDescent="0.35"/>
  <cols>
    <col min="1" max="1" width="51.453125" customWidth="1"/>
    <col min="2" max="2" width="27.453125" customWidth="1"/>
    <col min="3" max="3" width="12.81640625" customWidth="1"/>
    <col min="5" max="5" width="12.26953125" customWidth="1"/>
    <col min="7" max="7" width="25.1796875" bestFit="1" customWidth="1"/>
    <col min="8" max="8" width="29.7265625" bestFit="1" customWidth="1"/>
    <col min="9" max="9" width="11.54296875" customWidth="1"/>
    <col min="12" max="12" width="11.1796875" bestFit="1" customWidth="1"/>
    <col min="13" max="13" width="11.7265625" customWidth="1"/>
    <col min="14" max="14" width="9.7265625" customWidth="1"/>
    <col min="16" max="16" width="11.81640625" customWidth="1"/>
  </cols>
  <sheetData>
    <row r="1" spans="1:5" ht="15" thickBot="1" x14ac:dyDescent="0.4">
      <c r="A1" s="2" t="s">
        <v>102</v>
      </c>
    </row>
    <row r="2" spans="1:5" x14ac:dyDescent="0.35">
      <c r="A2" s="27" t="s">
        <v>76</v>
      </c>
      <c r="B2" s="30" t="s">
        <v>350</v>
      </c>
      <c r="C2" s="30" t="s">
        <v>351</v>
      </c>
      <c r="D2" s="30" t="s">
        <v>77</v>
      </c>
      <c r="E2" s="30" t="s">
        <v>80</v>
      </c>
    </row>
    <row r="3" spans="1:5" x14ac:dyDescent="0.35">
      <c r="A3" s="20" t="s">
        <v>170</v>
      </c>
      <c r="B3" t="str">
        <f>IF(Inputs!C37=1,1,"")</f>
        <v/>
      </c>
      <c r="C3" t="str">
        <f>IF(Inputs!D37=1,1,"")</f>
        <v/>
      </c>
      <c r="D3">
        <v>1</v>
      </c>
      <c r="E3" s="1">
        <f>(Inputs!$B$7*0.404686)*Inputs!B37</f>
        <v>708591.65225975704</v>
      </c>
    </row>
    <row r="4" spans="1:5" x14ac:dyDescent="0.35">
      <c r="A4" s="20" t="s">
        <v>135</v>
      </c>
      <c r="B4" t="str">
        <f>IF(Inputs!C38=1,1,"")</f>
        <v/>
      </c>
      <c r="C4" t="str">
        <f>IF(Inputs!D38=1,1,"")</f>
        <v/>
      </c>
      <c r="D4">
        <v>1</v>
      </c>
      <c r="E4" s="1">
        <f>(Inputs!$B$7*0.404686)*Inputs!B38</f>
        <v>1812890.3311061314</v>
      </c>
    </row>
    <row r="5" spans="1:5" x14ac:dyDescent="0.35">
      <c r="A5" s="20" t="s">
        <v>136</v>
      </c>
      <c r="B5" t="str">
        <f>IF(Inputs!C39=1,1,"")</f>
        <v/>
      </c>
      <c r="C5" t="str">
        <f>IF(Inputs!D39=1,1,"")</f>
        <v/>
      </c>
      <c r="D5">
        <v>1</v>
      </c>
      <c r="E5" s="1">
        <f>(Inputs!$B$7*0.404686)*Inputs!B39</f>
        <v>1076691.2118752152</v>
      </c>
    </row>
    <row r="6" spans="1:5" x14ac:dyDescent="0.35">
      <c r="A6" s="20" t="s">
        <v>137</v>
      </c>
      <c r="B6" t="str">
        <f>IF(Inputs!C40=1,1,"")</f>
        <v/>
      </c>
      <c r="C6" t="str">
        <f>IF(Inputs!D40=1,1,"")</f>
        <v/>
      </c>
      <c r="D6">
        <v>1</v>
      </c>
      <c r="E6" s="1">
        <f>(Inputs!$B$7*0.404686)*Inputs!B40</f>
        <v>699389.16326937056</v>
      </c>
    </row>
    <row r="7" spans="1:5" x14ac:dyDescent="0.35">
      <c r="A7" s="20" t="s">
        <v>138</v>
      </c>
      <c r="B7" t="str">
        <f>IF(Inputs!C41=1,1,"")</f>
        <v/>
      </c>
      <c r="C7" t="str">
        <f>IF(Inputs!D41=1,1,"")</f>
        <v/>
      </c>
      <c r="D7">
        <v>1</v>
      </c>
      <c r="E7" s="1">
        <f>(Inputs!$B$7*0.404686)*Inputs!B41</f>
        <v>1886510.2430292231</v>
      </c>
    </row>
    <row r="8" spans="1:5" x14ac:dyDescent="0.35">
      <c r="A8" s="20" t="s">
        <v>139</v>
      </c>
      <c r="B8" t="str">
        <f>IF(Inputs!C42=1,1,"")</f>
        <v/>
      </c>
      <c r="C8" t="str">
        <f>IF(Inputs!D42=1,1,"")</f>
        <v/>
      </c>
      <c r="D8">
        <v>1</v>
      </c>
      <c r="E8" s="1">
        <f>(Inputs!$B$7*0.404686)*AVERAGE(Inputs!B42:B43)</f>
        <v>432516.98254816333</v>
      </c>
    </row>
    <row r="9" spans="1:5" x14ac:dyDescent="0.35">
      <c r="A9" s="20" t="s">
        <v>140</v>
      </c>
      <c r="B9" t="str">
        <f>IF(Inputs!C44=1,1,"")</f>
        <v/>
      </c>
      <c r="C9">
        <f>IF(Inputs!D44=1,1,"")</f>
        <v>1</v>
      </c>
      <c r="D9">
        <v>1</v>
      </c>
      <c r="E9" s="1">
        <f>(Inputs!$B$7*0.404686)*Inputs!B44</f>
        <v>404909.515577004</v>
      </c>
    </row>
    <row r="10" spans="1:5" x14ac:dyDescent="0.35">
      <c r="A10" s="20" t="s">
        <v>238</v>
      </c>
      <c r="B10" t="str">
        <f>IF(Inputs!C45=1,1,"")</f>
        <v/>
      </c>
      <c r="C10" t="str">
        <f>IF(Inputs!D45=1,1,"")</f>
        <v/>
      </c>
      <c r="D10">
        <v>1</v>
      </c>
      <c r="E10" s="1">
        <f>(Inputs!$B$7*0.404686)*Inputs!B45</f>
        <v>947856.36600980477</v>
      </c>
    </row>
    <row r="11" spans="1:5" x14ac:dyDescent="0.35">
      <c r="A11" s="20" t="s">
        <v>239</v>
      </c>
      <c r="B11">
        <f>IF(Inputs!C46=1,1,"")</f>
        <v>1</v>
      </c>
      <c r="C11" t="str">
        <f>IF(Inputs!D46=1,1,"")</f>
        <v/>
      </c>
      <c r="D11">
        <v>1</v>
      </c>
      <c r="E11" s="1">
        <f>(Inputs!$B$7*0.404686)*Inputs!B46</f>
        <v>0</v>
      </c>
    </row>
    <row r="12" spans="1:5" x14ac:dyDescent="0.35">
      <c r="A12" s="70" t="s">
        <v>460</v>
      </c>
      <c r="B12" s="63" t="str">
        <f>IF(Inputs!C47=1,1,"")</f>
        <v/>
      </c>
      <c r="C12" s="63" t="str">
        <f>IF(Inputs!D47=1,1,"")</f>
        <v/>
      </c>
      <c r="D12" s="63">
        <v>1</v>
      </c>
      <c r="E12" s="64">
        <f>(Inputs!$B$7*0.404686)*Inputs!B47</f>
        <v>0</v>
      </c>
    </row>
    <row r="13" spans="1:5" x14ac:dyDescent="0.35">
      <c r="A13" s="20" t="s">
        <v>141</v>
      </c>
      <c r="B13" t="str">
        <f>IF(Inputs!C48=1,1,"")</f>
        <v/>
      </c>
      <c r="C13" t="str">
        <f>IF(Inputs!D48=1,1,"")</f>
        <v/>
      </c>
      <c r="D13">
        <v>2</v>
      </c>
      <c r="E13" s="1">
        <f>(Inputs!$B$8*0.404686)*Inputs!B48</f>
        <v>208555.24169043571</v>
      </c>
    </row>
    <row r="14" spans="1:5" x14ac:dyDescent="0.35">
      <c r="A14" s="20" t="s">
        <v>144</v>
      </c>
      <c r="B14" t="str">
        <f>IF(Inputs!C49=1,1,"")</f>
        <v/>
      </c>
      <c r="C14" t="str">
        <f>IF(Inputs!D49=1,1,"")</f>
        <v/>
      </c>
      <c r="D14">
        <v>2</v>
      </c>
      <c r="E14" s="1">
        <f>(Inputs!$B$8*0.404686)*Inputs!B49</f>
        <v>0</v>
      </c>
    </row>
    <row r="15" spans="1:5" x14ac:dyDescent="0.35">
      <c r="A15" s="20" t="s">
        <v>143</v>
      </c>
      <c r="B15" t="str">
        <f>IF(Inputs!C50=1,1,"")</f>
        <v/>
      </c>
      <c r="C15" t="str">
        <f>IF(Inputs!D50=1,1,"")</f>
        <v/>
      </c>
      <c r="D15">
        <v>2</v>
      </c>
      <c r="E15" s="1">
        <f>(Inputs!$B$8*0.404686)*Inputs!B50</f>
        <v>0</v>
      </c>
    </row>
    <row r="16" spans="1:5" x14ac:dyDescent="0.35">
      <c r="A16" s="20" t="s">
        <v>145</v>
      </c>
      <c r="B16" t="str">
        <f>IF(Inputs!C51=1,1,"")</f>
        <v/>
      </c>
      <c r="C16" t="str">
        <f>IF(Inputs!D51=1,1,"")</f>
        <v/>
      </c>
      <c r="D16">
        <v>2</v>
      </c>
      <c r="E16" s="1">
        <f>(Inputs!$B$8*0.404686)*Inputs!B51</f>
        <v>248758.66177533899</v>
      </c>
    </row>
    <row r="17" spans="1:5" x14ac:dyDescent="0.35">
      <c r="A17" s="20" t="s">
        <v>146</v>
      </c>
      <c r="B17" t="str">
        <f>IF(Inputs!C52=1,1,"")</f>
        <v/>
      </c>
      <c r="C17" t="str">
        <f>IF(Inputs!D52=1,1,"")</f>
        <v/>
      </c>
      <c r="D17">
        <v>2</v>
      </c>
      <c r="E17" s="1">
        <f>(Inputs!$B$8*0.404686)*Inputs!B52</f>
        <v>0</v>
      </c>
    </row>
    <row r="18" spans="1:5" x14ac:dyDescent="0.35">
      <c r="A18" s="20" t="s">
        <v>147</v>
      </c>
      <c r="B18" t="str">
        <f>IF(Inputs!C53=1,1,"")</f>
        <v/>
      </c>
      <c r="C18" t="str">
        <f>IF(Inputs!D53=1,1,"")</f>
        <v/>
      </c>
      <c r="D18">
        <v>2</v>
      </c>
      <c r="E18" s="1">
        <f>(Inputs!$B$8*0.404686)*Inputs!B53</f>
        <v>0</v>
      </c>
    </row>
    <row r="19" spans="1:5" x14ac:dyDescent="0.35">
      <c r="A19" s="20" t="s">
        <v>148</v>
      </c>
      <c r="B19" t="str">
        <f>IF(Inputs!C54=1,1,"")</f>
        <v/>
      </c>
      <c r="C19" t="str">
        <f>IF(Inputs!D54=1,1,"")</f>
        <v/>
      </c>
      <c r="D19">
        <v>2</v>
      </c>
      <c r="E19" s="1">
        <f>(Inputs!$B$8*0.404686)*(AVERAGE(Inputs!B54:B55))</f>
        <v>288962.08186024224</v>
      </c>
    </row>
    <row r="20" spans="1:5" x14ac:dyDescent="0.35">
      <c r="A20" s="20" t="s">
        <v>240</v>
      </c>
      <c r="B20" t="str">
        <f>IF(Inputs!C56=1,1,"")</f>
        <v/>
      </c>
      <c r="C20">
        <f>IF(Inputs!D56=1,1,"")</f>
        <v>1</v>
      </c>
      <c r="D20">
        <v>2</v>
      </c>
      <c r="E20" s="1">
        <f>(Inputs!$B$8*0.404686)*Inputs!B56</f>
        <v>17588.996287145183</v>
      </c>
    </row>
    <row r="21" spans="1:5" x14ac:dyDescent="0.35">
      <c r="A21" s="20" t="s">
        <v>241</v>
      </c>
      <c r="B21">
        <f>IF(Inputs!C57=1,1,"")</f>
        <v>1</v>
      </c>
      <c r="C21" t="str">
        <f>IF(Inputs!D57=1,1,"")</f>
        <v/>
      </c>
      <c r="D21">
        <v>2</v>
      </c>
      <c r="E21" s="1">
        <f>(Inputs!$B$8*0.404686)*Inputs!B57</f>
        <v>0</v>
      </c>
    </row>
    <row r="22" spans="1:5" x14ac:dyDescent="0.35">
      <c r="A22" s="70" t="s">
        <v>461</v>
      </c>
      <c r="B22" s="63" t="str">
        <f>IF(Inputs!C58=1,1,"")</f>
        <v/>
      </c>
      <c r="C22" s="63" t="str">
        <f>IF(Inputs!D58=1,1,"")</f>
        <v/>
      </c>
      <c r="D22" s="63">
        <v>2</v>
      </c>
      <c r="E22" s="64">
        <f>(Inputs!$B$8*0.404686)*Inputs!B58</f>
        <v>0</v>
      </c>
    </row>
    <row r="23" spans="1:5" x14ac:dyDescent="0.35">
      <c r="A23" s="20" t="s">
        <v>149</v>
      </c>
      <c r="B23" t="str">
        <f>IF(Inputs!C59=1,1,"")</f>
        <v/>
      </c>
      <c r="C23" t="str">
        <f>IF(Inputs!D59=1,1,"")</f>
        <v/>
      </c>
      <c r="D23">
        <v>3</v>
      </c>
      <c r="E23" s="1">
        <f>(Inputs!$B$12*0.404686)*Inputs!B59</f>
        <v>1163278.0007199997</v>
      </c>
    </row>
    <row r="24" spans="1:5" x14ac:dyDescent="0.35">
      <c r="A24" s="20" t="s">
        <v>154</v>
      </c>
      <c r="B24" t="str">
        <f>IF(Inputs!C60=1,1,"")</f>
        <v/>
      </c>
      <c r="C24">
        <f>IF(Inputs!D60=1,1,"")</f>
        <v>1</v>
      </c>
      <c r="D24">
        <v>3</v>
      </c>
      <c r="E24" s="1">
        <f>(Inputs!$B$12*0.404686)*Inputs!B60</f>
        <v>1330656.13032</v>
      </c>
    </row>
    <row r="25" spans="1:5" x14ac:dyDescent="0.35">
      <c r="A25" s="20" t="s">
        <v>150</v>
      </c>
      <c r="B25" t="str">
        <f>IF(Inputs!C61=1,1,"")</f>
        <v/>
      </c>
      <c r="C25" t="str">
        <f>IF(Inputs!D61=1,1,"")</f>
        <v/>
      </c>
      <c r="D25">
        <v>3</v>
      </c>
      <c r="E25" s="1">
        <f>(Inputs!$B$12*0.404686)*Inputs!B61</f>
        <v>5105032.9527999992</v>
      </c>
    </row>
    <row r="26" spans="1:5" x14ac:dyDescent="0.35">
      <c r="A26" s="20" t="s">
        <v>151</v>
      </c>
      <c r="B26" t="str">
        <f>IF(Inputs!C62=1,1,"")</f>
        <v/>
      </c>
      <c r="C26" t="str">
        <f>IF(Inputs!D62=1,1,"")</f>
        <v/>
      </c>
      <c r="D26">
        <v>3</v>
      </c>
      <c r="E26" s="1">
        <f>(Inputs!$B$12*0.404686)*Inputs!B62</f>
        <v>3179423.6527199997</v>
      </c>
    </row>
    <row r="27" spans="1:5" x14ac:dyDescent="0.35">
      <c r="A27" s="20" t="s">
        <v>152</v>
      </c>
      <c r="B27">
        <f>IF(Inputs!C63=1,1,"")</f>
        <v>1</v>
      </c>
      <c r="C27" t="str">
        <f>IF(Inputs!D63=1,1,"")</f>
        <v/>
      </c>
      <c r="D27">
        <v>3</v>
      </c>
      <c r="E27" s="1">
        <f>(Inputs!$B$12*0.404686)*Inputs!B63</f>
        <v>694619.23783999984</v>
      </c>
    </row>
    <row r="28" spans="1:5" x14ac:dyDescent="0.35">
      <c r="A28" s="70" t="s">
        <v>462</v>
      </c>
      <c r="B28" s="63" t="str">
        <f>IF(Inputs!C64=1,1,"")</f>
        <v/>
      </c>
      <c r="C28" s="63" t="str">
        <f>IF(Inputs!D64=1,1,"")</f>
        <v/>
      </c>
      <c r="D28" s="63">
        <v>3</v>
      </c>
      <c r="E28" s="64">
        <f>(Inputs!$B$12*0.404686)*Inputs!B64</f>
        <v>0</v>
      </c>
    </row>
    <row r="29" spans="1:5" x14ac:dyDescent="0.35">
      <c r="A29" s="20" t="s">
        <v>153</v>
      </c>
      <c r="B29" t="str">
        <f>IF(Inputs!C65=1,1,"")</f>
        <v/>
      </c>
      <c r="C29" t="str">
        <f>IF(Inputs!D65=1,1,"")</f>
        <v/>
      </c>
      <c r="D29">
        <v>4</v>
      </c>
      <c r="E29" s="1">
        <f>(Inputs!$B$14*0.404686)*Inputs!B65</f>
        <v>1150368.5173200001</v>
      </c>
    </row>
    <row r="30" spans="1:5" x14ac:dyDescent="0.35">
      <c r="A30" s="20" t="s">
        <v>155</v>
      </c>
      <c r="B30" t="str">
        <f>IF(Inputs!C66=1,1,"")</f>
        <v/>
      </c>
      <c r="C30" t="str">
        <f>IF(Inputs!D66=1,1,"")</f>
        <v/>
      </c>
      <c r="D30">
        <v>4</v>
      </c>
      <c r="E30" s="1">
        <f>(Inputs!$B$14*0.404686)*Inputs!B66</f>
        <v>727916.80191999988</v>
      </c>
    </row>
    <row r="31" spans="1:5" x14ac:dyDescent="0.35">
      <c r="A31" s="20" t="s">
        <v>156</v>
      </c>
      <c r="B31">
        <f>IF(Inputs!C67=1,1,"")</f>
        <v>1</v>
      </c>
      <c r="C31" t="str">
        <f>IF(Inputs!D67=1,1,"")</f>
        <v/>
      </c>
      <c r="D31">
        <v>4</v>
      </c>
      <c r="E31" s="1">
        <f>(Inputs!$B$14*0.404686)*Inputs!B67</f>
        <v>623928.68735999998</v>
      </c>
    </row>
    <row r="32" spans="1:5" x14ac:dyDescent="0.35">
      <c r="A32" s="20" t="s">
        <v>157</v>
      </c>
      <c r="B32" t="str">
        <f>IF(Inputs!C68=1,1,"")</f>
        <v/>
      </c>
      <c r="C32" t="str">
        <f>IF(Inputs!D68=1,1,"")</f>
        <v/>
      </c>
      <c r="D32">
        <v>4</v>
      </c>
      <c r="E32" s="1">
        <f>(Inputs!$B$14*0.404686)*Inputs!B68</f>
        <v>909896.00239999988</v>
      </c>
    </row>
    <row r="33" spans="1:5" x14ac:dyDescent="0.35">
      <c r="A33" s="20" t="s">
        <v>158</v>
      </c>
      <c r="B33" t="str">
        <f>IF(Inputs!C69=1,1,"")</f>
        <v/>
      </c>
      <c r="C33">
        <f>IF(Inputs!D69=1,1,"")</f>
        <v>1</v>
      </c>
      <c r="D33">
        <v>4</v>
      </c>
      <c r="E33" s="1">
        <f>(Inputs!$B$14*0.404686)*Inputs!B69</f>
        <v>2313735.5489599998</v>
      </c>
    </row>
    <row r="34" spans="1:5" x14ac:dyDescent="0.35">
      <c r="A34" s="20" t="s">
        <v>242</v>
      </c>
      <c r="B34" t="str">
        <f>IF(Inputs!C70=1,1,"")</f>
        <v/>
      </c>
      <c r="C34" t="str">
        <f>IF(Inputs!D70=1,1,"")</f>
        <v/>
      </c>
      <c r="D34">
        <v>4</v>
      </c>
      <c r="E34" s="1">
        <f>(Inputs!$B$14*0.404686)*Inputs!B70</f>
        <v>1949777.148</v>
      </c>
    </row>
    <row r="35" spans="1:5" x14ac:dyDescent="0.35">
      <c r="A35" s="70" t="s">
        <v>463</v>
      </c>
      <c r="B35" s="63" t="str">
        <f>IF(Inputs!C71=1,1,"")</f>
        <v/>
      </c>
      <c r="C35" s="63" t="str">
        <f>IF(Inputs!D71=1,1,"")</f>
        <v/>
      </c>
      <c r="D35" s="63">
        <v>4</v>
      </c>
      <c r="E35" s="64">
        <f>(Inputs!$B$14*0.404686)*Inputs!B71</f>
        <v>0</v>
      </c>
    </row>
    <row r="36" spans="1:5" x14ac:dyDescent="0.35">
      <c r="A36" s="20" t="s">
        <v>159</v>
      </c>
      <c r="B36" t="str">
        <f>IF(Inputs!C72=1,1,"")</f>
        <v/>
      </c>
      <c r="C36" t="str">
        <f>IF(Inputs!D72=1,1,"")</f>
        <v/>
      </c>
      <c r="D36">
        <v>5</v>
      </c>
      <c r="E36" s="1">
        <f>(Inputs!$B$13*0.404686)*Inputs!B72</f>
        <v>1061598.0221403176</v>
      </c>
    </row>
    <row r="37" spans="1:5" x14ac:dyDescent="0.35">
      <c r="A37" s="20" t="s">
        <v>160</v>
      </c>
      <c r="B37" t="str">
        <f>IF(Inputs!C73=1,1,"")</f>
        <v/>
      </c>
      <c r="C37" t="str">
        <f>IF(Inputs!D73=1,1,"")</f>
        <v/>
      </c>
      <c r="D37">
        <v>5</v>
      </c>
      <c r="E37" s="1">
        <f>(Inputs!$B$13*0.404686)*Inputs!B73</f>
        <v>1836533.0768777602</v>
      </c>
    </row>
    <row r="38" spans="1:5" x14ac:dyDescent="0.35">
      <c r="A38" s="20" t="s">
        <v>161</v>
      </c>
      <c r="B38" t="str">
        <f>IF(Inputs!C74=1,1,"")</f>
        <v/>
      </c>
      <c r="C38" t="str">
        <f>IF(Inputs!D74=1,1,"")</f>
        <v/>
      </c>
      <c r="D38">
        <v>5</v>
      </c>
      <c r="E38" s="1">
        <f>(Inputs!$B$13*0.404686)*Inputs!B74</f>
        <v>3927177.6486694235</v>
      </c>
    </row>
    <row r="39" spans="1:5" x14ac:dyDescent="0.35">
      <c r="A39" s="20" t="s">
        <v>162</v>
      </c>
      <c r="B39" t="str">
        <f>IF(Inputs!C75=1,1,"")</f>
        <v/>
      </c>
      <c r="C39">
        <f>IF(Inputs!D75=1,1,"")</f>
        <v>1</v>
      </c>
      <c r="D39">
        <v>5</v>
      </c>
      <c r="E39" s="1">
        <f>(Inputs!$B$13*0.404686)*Inputs!B75</f>
        <v>1674825.7619325486</v>
      </c>
    </row>
    <row r="40" spans="1:5" x14ac:dyDescent="0.35">
      <c r="A40" s="20" t="s">
        <v>163</v>
      </c>
      <c r="B40">
        <f>IF(Inputs!C76=1,1,"")</f>
        <v>1</v>
      </c>
      <c r="C40" t="str">
        <f>IF(Inputs!D76=1,1,"")</f>
        <v/>
      </c>
      <c r="D40">
        <v>5</v>
      </c>
      <c r="E40" s="1">
        <f>(Inputs!$B$13*0.404686)*Inputs!B76</f>
        <v>1004895.4571595291</v>
      </c>
    </row>
    <row r="41" spans="1:5" x14ac:dyDescent="0.35">
      <c r="A41" s="20" t="s">
        <v>243</v>
      </c>
      <c r="B41" t="str">
        <f>IF(Inputs!C77=1,1,"")</f>
        <v/>
      </c>
      <c r="C41" t="str">
        <f>IF(Inputs!D77=1,1,"")</f>
        <v/>
      </c>
      <c r="D41">
        <v>5</v>
      </c>
      <c r="E41" s="1">
        <f>(Inputs!$B$13*0.404686)*Inputs!B77</f>
        <v>1269507.4270698754</v>
      </c>
    </row>
    <row r="42" spans="1:5" x14ac:dyDescent="0.35">
      <c r="A42" s="70" t="s">
        <v>464</v>
      </c>
      <c r="B42" s="63" t="str">
        <f>IF(Inputs!C78=1,1,"")</f>
        <v/>
      </c>
      <c r="C42" s="63" t="str">
        <f>IF(Inputs!D78=1,1,"")</f>
        <v/>
      </c>
      <c r="D42" s="63">
        <v>5</v>
      </c>
      <c r="E42" s="64">
        <f>(Inputs!$B$13*0.404686)*Inputs!B78</f>
        <v>0</v>
      </c>
    </row>
    <row r="43" spans="1:5" x14ac:dyDescent="0.35">
      <c r="A43" s="20" t="s">
        <v>190</v>
      </c>
      <c r="B43" t="str">
        <f>IF(Inputs!C79=1,1,"")</f>
        <v/>
      </c>
      <c r="C43" t="str">
        <f>IF(Inputs!D79=1,1,"")</f>
        <v/>
      </c>
      <c r="D43">
        <v>6</v>
      </c>
      <c r="E43" s="1">
        <f>(Inputs!$B$15*0.404686)*Inputs!B79</f>
        <v>1368595.0381339998</v>
      </c>
    </row>
    <row r="44" spans="1:5" x14ac:dyDescent="0.35">
      <c r="A44" s="20" t="s">
        <v>191</v>
      </c>
      <c r="B44" t="str">
        <f>IF(Inputs!C80=1,1,"")</f>
        <v/>
      </c>
      <c r="C44" t="str">
        <f>IF(Inputs!D80=1,1,"")</f>
        <v/>
      </c>
      <c r="D44">
        <v>6</v>
      </c>
      <c r="E44" s="1">
        <f>(Inputs!$B$15*0.404686)*Inputs!B80</f>
        <v>1007937.4585329999</v>
      </c>
    </row>
    <row r="45" spans="1:5" x14ac:dyDescent="0.35">
      <c r="A45" s="20" t="s">
        <v>192</v>
      </c>
      <c r="B45" t="str">
        <f>IF(Inputs!C81=1,1,"")</f>
        <v/>
      </c>
      <c r="C45" t="str">
        <f>IF(Inputs!D81=1,1,"")</f>
        <v/>
      </c>
      <c r="D45">
        <v>6</v>
      </c>
      <c r="E45" s="1">
        <f>(Inputs!$B$15*0.404686)*Inputs!B81</f>
        <v>309890.53027300001</v>
      </c>
    </row>
    <row r="46" spans="1:5" x14ac:dyDescent="0.35">
      <c r="A46" s="20" t="s">
        <v>193</v>
      </c>
      <c r="B46">
        <f>IF(Inputs!C82=1,1,"")</f>
        <v>1</v>
      </c>
      <c r="C46" t="str">
        <f>IF(Inputs!D82=1,1,"")</f>
        <v/>
      </c>
      <c r="D46">
        <v>6</v>
      </c>
      <c r="E46" s="1">
        <f>(Inputs!$B$15*0.404686)*Inputs!B82</f>
        <v>976208.05270300002</v>
      </c>
    </row>
    <row r="47" spans="1:5" x14ac:dyDescent="0.35">
      <c r="A47" s="20" t="s">
        <v>194</v>
      </c>
      <c r="B47" t="str">
        <f>IF(Inputs!C83=1,1,"")</f>
        <v/>
      </c>
      <c r="C47">
        <f>IF(Inputs!D83=1,1,"")</f>
        <v>1</v>
      </c>
      <c r="D47">
        <v>6</v>
      </c>
      <c r="E47" s="1">
        <f>(Inputs!$B$15*0.404686)*Inputs!B83</f>
        <v>1745117.3206499999</v>
      </c>
    </row>
    <row r="48" spans="1:5" x14ac:dyDescent="0.35">
      <c r="A48" s="70" t="s">
        <v>465</v>
      </c>
      <c r="B48" s="63" t="str">
        <f>IF(Inputs!C84=1,1,"")</f>
        <v/>
      </c>
      <c r="C48" s="63" t="str">
        <f>IF(Inputs!D84=1,1,"")</f>
        <v/>
      </c>
      <c r="D48" s="63">
        <v>6</v>
      </c>
      <c r="E48" s="64">
        <f>(Inputs!$B$15*0.404686)*Inputs!B84</f>
        <v>0</v>
      </c>
    </row>
    <row r="49" spans="1:5" x14ac:dyDescent="0.35">
      <c r="A49" s="20" t="s">
        <v>164</v>
      </c>
      <c r="B49" t="str">
        <f>IF(Inputs!C85=1,1,"")</f>
        <v/>
      </c>
      <c r="C49" t="str">
        <f>IF(Inputs!D85=1,1,"")</f>
        <v/>
      </c>
      <c r="D49">
        <v>7</v>
      </c>
      <c r="E49" s="1">
        <f>(Inputs!$B$11*0.404686)*Inputs!B85</f>
        <v>236741.31</v>
      </c>
    </row>
    <row r="50" spans="1:5" x14ac:dyDescent="0.35">
      <c r="A50" s="20" t="s">
        <v>165</v>
      </c>
      <c r="B50" t="str">
        <f>IF(Inputs!C86=1,1,"")</f>
        <v/>
      </c>
      <c r="C50" t="str">
        <f>IF(Inputs!D86=1,1,"")</f>
        <v/>
      </c>
      <c r="D50">
        <v>7</v>
      </c>
      <c r="E50" s="1">
        <f>(Inputs!$B$11*0.404686)*Inputs!B86</f>
        <v>173610.29400000002</v>
      </c>
    </row>
    <row r="51" spans="1:5" x14ac:dyDescent="0.35">
      <c r="A51" s="20" t="s">
        <v>246</v>
      </c>
      <c r="B51" t="str">
        <f>IF(Inputs!C87=1,1,"")</f>
        <v/>
      </c>
      <c r="C51" t="str">
        <f>IF(Inputs!D87=1,1,"")</f>
        <v/>
      </c>
      <c r="D51">
        <v>7</v>
      </c>
      <c r="E51" s="1">
        <f>(Inputs!$B$11*0.404686)*Inputs!B87</f>
        <v>659719.11719999998</v>
      </c>
    </row>
    <row r="52" spans="1:5" x14ac:dyDescent="0.35">
      <c r="A52" s="20" t="s">
        <v>245</v>
      </c>
      <c r="B52" t="str">
        <f>IF(Inputs!C88=1,1,"")</f>
        <v/>
      </c>
      <c r="C52" t="str">
        <f>IF(Inputs!D88=1,1,"")</f>
        <v/>
      </c>
      <c r="D52">
        <v>7</v>
      </c>
      <c r="E52" s="74">
        <f>(Inputs!$B$11*0.404686)*B83</f>
        <v>157827.54</v>
      </c>
    </row>
    <row r="53" spans="1:5" x14ac:dyDescent="0.35">
      <c r="A53" s="20" t="s">
        <v>244</v>
      </c>
      <c r="B53">
        <f>IF(Inputs!C89=1,1,"")</f>
        <v>1</v>
      </c>
      <c r="C53" t="str">
        <f>IF(Inputs!D89=1,1,"")</f>
        <v/>
      </c>
      <c r="D53">
        <v>7</v>
      </c>
      <c r="E53" s="1">
        <f>(Inputs!$B$11*0.404686)*Inputs!B89</f>
        <v>0</v>
      </c>
    </row>
    <row r="54" spans="1:5" x14ac:dyDescent="0.35">
      <c r="A54" s="70" t="s">
        <v>466</v>
      </c>
      <c r="B54" s="63" t="str">
        <f>IF(Inputs!C90=1,1,"")</f>
        <v/>
      </c>
      <c r="C54" s="63">
        <f>IF(Inputs!D90=1,1,"")</f>
        <v>1</v>
      </c>
      <c r="D54" s="63">
        <v>7</v>
      </c>
      <c r="E54" s="64">
        <f>(Inputs!$B$11*0.404686)*Inputs!B90</f>
        <v>489265.37400000001</v>
      </c>
    </row>
    <row r="55" spans="1:5" x14ac:dyDescent="0.35">
      <c r="A55" s="20" t="s">
        <v>166</v>
      </c>
      <c r="B55" t="str">
        <f>IF(Inputs!C91=1,1,"")</f>
        <v/>
      </c>
      <c r="C55">
        <f>IF(Inputs!D91=1,1,"")</f>
        <v>1</v>
      </c>
      <c r="D55">
        <v>8</v>
      </c>
      <c r="E55" s="1">
        <f>(Inputs!$B$9*0.404686)*Inputs!B91</f>
        <v>258189.66799999995</v>
      </c>
    </row>
    <row r="56" spans="1:5" x14ac:dyDescent="0.35">
      <c r="A56" s="20" t="s">
        <v>167</v>
      </c>
      <c r="B56" t="str">
        <f>IF(Inputs!C92=1,1,"")</f>
        <v/>
      </c>
      <c r="C56" t="str">
        <f>IF(Inputs!D92=1,1,"")</f>
        <v/>
      </c>
      <c r="D56">
        <v>8</v>
      </c>
      <c r="E56" s="1">
        <f>(Inputs!$B$9*0.404686)*Inputs!B92</f>
        <v>94696.523999999976</v>
      </c>
    </row>
    <row r="57" spans="1:5" x14ac:dyDescent="0.35">
      <c r="A57" s="20" t="s">
        <v>168</v>
      </c>
      <c r="B57" t="str">
        <f>IF(Inputs!C93=1,1,"")</f>
        <v/>
      </c>
      <c r="C57" t="str">
        <f>IF(Inputs!D93=1,1,"")</f>
        <v/>
      </c>
      <c r="D57">
        <v>8</v>
      </c>
      <c r="E57" s="1">
        <f>(Inputs!$B$9*0.404686)*Inputs!B93</f>
        <v>249286.57599999994</v>
      </c>
    </row>
    <row r="58" spans="1:5" x14ac:dyDescent="0.35">
      <c r="A58" s="20" t="s">
        <v>169</v>
      </c>
      <c r="B58" t="str">
        <f>IF(Inputs!C94=1,1,"")</f>
        <v/>
      </c>
      <c r="C58" t="str">
        <f>IF(Inputs!D94=1,1,"")</f>
        <v/>
      </c>
      <c r="D58">
        <v>8</v>
      </c>
      <c r="E58" s="1">
        <f>(Inputs!$B$9*0.404686)*Inputs!B94</f>
        <v>1065133.5519999997</v>
      </c>
    </row>
    <row r="59" spans="1:5" x14ac:dyDescent="0.35">
      <c r="A59" s="20" t="s">
        <v>247</v>
      </c>
      <c r="B59">
        <f>IF(Inputs!C95=1,1,"")</f>
        <v>1</v>
      </c>
      <c r="C59" t="str">
        <f>IF(Inputs!D95=1,1,"")</f>
        <v/>
      </c>
      <c r="D59">
        <v>8</v>
      </c>
      <c r="E59" s="1">
        <f>(Inputs!$B$9*0.404686)*Inputs!B95</f>
        <v>0</v>
      </c>
    </row>
    <row r="60" spans="1:5" x14ac:dyDescent="0.35">
      <c r="A60" s="70" t="s">
        <v>467</v>
      </c>
      <c r="B60" s="63" t="str">
        <f>IF(Inputs!C96=1,1,"")</f>
        <v/>
      </c>
      <c r="C60" s="63" t="str">
        <f>IF(Inputs!D96=1,1,"")</f>
        <v/>
      </c>
      <c r="D60" s="63">
        <v>8</v>
      </c>
      <c r="E60" s="64">
        <f>(Inputs!$B$9*0.404686)*Inputs!B96</f>
        <v>0</v>
      </c>
    </row>
    <row r="61" spans="1:5" x14ac:dyDescent="0.35">
      <c r="A61" s="20" t="s">
        <v>254</v>
      </c>
      <c r="B61">
        <f>IF(Inputs!C97=1,1,"")</f>
        <v>1</v>
      </c>
      <c r="C61" t="str">
        <f>IF(Inputs!D97=1,1,"")</f>
        <v/>
      </c>
      <c r="D61">
        <v>9</v>
      </c>
      <c r="E61" s="1">
        <f>(Inputs!$B$16*0.404686)*Inputs!B97</f>
        <v>0</v>
      </c>
    </row>
    <row r="62" spans="1:5" x14ac:dyDescent="0.35">
      <c r="A62" s="20" t="s">
        <v>262</v>
      </c>
      <c r="B62" t="str">
        <f>IF(Inputs!C98=1,1,"")</f>
        <v/>
      </c>
      <c r="C62" t="str">
        <f>IF(Inputs!D98=1,1,"")</f>
        <v/>
      </c>
      <c r="D62">
        <v>9</v>
      </c>
      <c r="E62" s="1">
        <f>(Inputs!$B$16*0.404686)*Inputs!B98</f>
        <v>214688.54860276799</v>
      </c>
    </row>
    <row r="63" spans="1:5" x14ac:dyDescent="0.35">
      <c r="A63" s="20" t="s">
        <v>255</v>
      </c>
      <c r="B63" t="str">
        <f>IF(Inputs!C99=1,1,"")</f>
        <v/>
      </c>
      <c r="C63">
        <f>IF(Inputs!D99=1,1,"")</f>
        <v>1</v>
      </c>
      <c r="D63">
        <v>9</v>
      </c>
      <c r="E63" s="1">
        <f>(Inputs!$B$16*0.404686)*Inputs!B99</f>
        <v>279910.38615297596</v>
      </c>
    </row>
    <row r="64" spans="1:5" x14ac:dyDescent="0.35">
      <c r="A64" s="70" t="s">
        <v>517</v>
      </c>
      <c r="B64" s="63" t="str">
        <f>IF(Inputs!C100=1,1,"")</f>
        <v/>
      </c>
      <c r="C64" s="63" t="str">
        <f>IF(Inputs!D100=1,1,"")</f>
        <v/>
      </c>
      <c r="D64" s="63">
        <v>9</v>
      </c>
      <c r="E64" s="64">
        <f>(Inputs!$B$16*0.404686)*Inputs!B100</f>
        <v>0</v>
      </c>
    </row>
    <row r="65" spans="1:5" x14ac:dyDescent="0.35">
      <c r="A65" s="20" t="s">
        <v>172</v>
      </c>
      <c r="D65">
        <v>10</v>
      </c>
      <c r="E65" s="1">
        <f>'N Management Calcs'!B24-'N Management Calcs'!H24</f>
        <v>763200.24055017112</v>
      </c>
    </row>
    <row r="66" spans="1:5" x14ac:dyDescent="0.35">
      <c r="A66" s="20" t="s">
        <v>171</v>
      </c>
      <c r="D66">
        <v>10</v>
      </c>
      <c r="E66" s="1">
        <f>'N Management Calcs'!B25-'N Management Calcs'!H25</f>
        <v>808240.39493199997</v>
      </c>
    </row>
    <row r="67" spans="1:5" x14ac:dyDescent="0.35">
      <c r="A67" s="20" t="s">
        <v>173</v>
      </c>
      <c r="D67">
        <v>10</v>
      </c>
      <c r="E67" s="1">
        <f>'N Management Calcs'!B26-'N Management Calcs'!H26</f>
        <v>673119.93178651389</v>
      </c>
    </row>
    <row r="68" spans="1:5" x14ac:dyDescent="0.35">
      <c r="A68" s="20" t="s">
        <v>184</v>
      </c>
      <c r="D68">
        <v>10</v>
      </c>
      <c r="E68" s="1">
        <f>'N Management Calcs'!B27-'N Management Calcs'!H27</f>
        <v>531994.11472345144</v>
      </c>
    </row>
    <row r="69" spans="1:5" x14ac:dyDescent="0.35">
      <c r="A69" s="20" t="s">
        <v>185</v>
      </c>
      <c r="D69">
        <v>10</v>
      </c>
      <c r="E69" s="1">
        <f>'N Management Calcs'!B28-'N Management Calcs'!H28</f>
        <v>559018.20735254884</v>
      </c>
    </row>
    <row r="70" spans="1:5" x14ac:dyDescent="0.35">
      <c r="A70" s="20" t="s">
        <v>174</v>
      </c>
      <c r="D70">
        <v>10</v>
      </c>
      <c r="E70" s="1">
        <f>'N Management Calcs'!B29-'N Management Calcs'!H29</f>
        <v>569051.93991921376</v>
      </c>
    </row>
    <row r="71" spans="1:5" x14ac:dyDescent="0.35">
      <c r="A71" s="20" t="s">
        <v>175</v>
      </c>
      <c r="D71">
        <v>10</v>
      </c>
      <c r="E71" s="1">
        <f>'N Management Calcs'!B30-'N Management Calcs'!H30</f>
        <v>535889.54916460812</v>
      </c>
    </row>
    <row r="72" spans="1:5" x14ac:dyDescent="0.35">
      <c r="A72" s="20" t="s">
        <v>250</v>
      </c>
      <c r="D72">
        <v>10</v>
      </c>
      <c r="E72" s="1">
        <f>'N Management Calcs'!B31-'N Management Calcs'!H31</f>
        <v>643093.16219862876</v>
      </c>
    </row>
    <row r="73" spans="1:5" x14ac:dyDescent="0.35">
      <c r="A73" s="20" t="s">
        <v>251</v>
      </c>
      <c r="D73">
        <v>10</v>
      </c>
      <c r="E73" s="1">
        <f>'N Management Calcs'!B32-'N Management Calcs'!H32</f>
        <v>841269.84147867374</v>
      </c>
    </row>
    <row r="74" spans="1:5" x14ac:dyDescent="0.35">
      <c r="A74" s="20" t="s">
        <v>176</v>
      </c>
      <c r="D74">
        <v>10</v>
      </c>
      <c r="E74" s="1">
        <f>'N Management Calcs'!B33-'N Management Calcs'!H33</f>
        <v>1934244.2544777142</v>
      </c>
    </row>
    <row r="75" spans="1:5" x14ac:dyDescent="0.35">
      <c r="A75" s="20" t="s">
        <v>177</v>
      </c>
      <c r="D75">
        <v>10</v>
      </c>
      <c r="E75" s="1">
        <f>'N Management Calcs'!B34-'N Management Calcs'!H34</f>
        <v>1498856.0954533713</v>
      </c>
    </row>
    <row r="76" spans="1:5" x14ac:dyDescent="0.35">
      <c r="A76" s="20" t="s">
        <v>178</v>
      </c>
      <c r="D76">
        <v>10</v>
      </c>
      <c r="E76" s="1">
        <f>'N Management Calcs'!B35-'N Management Calcs'!H35</f>
        <v>1183575.0147805708</v>
      </c>
    </row>
    <row r="77" spans="1:5" x14ac:dyDescent="0.35">
      <c r="A77" s="20" t="s">
        <v>179</v>
      </c>
      <c r="D77">
        <v>10</v>
      </c>
      <c r="E77" s="1">
        <f>'N Management Calcs'!B36-'N Management Calcs'!H36</f>
        <v>1483842.7106594276</v>
      </c>
    </row>
    <row r="78" spans="1:5" x14ac:dyDescent="0.35">
      <c r="A78" s="20" t="s">
        <v>180</v>
      </c>
      <c r="D78">
        <v>10</v>
      </c>
      <c r="E78" s="1">
        <f>'N Management Calcs'!B37-'N Management Calcs'!H37</f>
        <v>973387.62766537163</v>
      </c>
    </row>
    <row r="79" spans="1:5" ht="15" thickBot="1" x14ac:dyDescent="0.4">
      <c r="A79" s="22" t="s">
        <v>468</v>
      </c>
      <c r="B79" s="23"/>
      <c r="C79" s="23"/>
      <c r="D79" s="23">
        <v>10</v>
      </c>
      <c r="E79" s="1">
        <f>'N Management Calcs'!B38-'N Management Calcs'!H38</f>
        <v>282771.92714400007</v>
      </c>
    </row>
    <row r="80" spans="1:5" ht="15" thickBot="1" x14ac:dyDescent="0.4">
      <c r="C80" s="1"/>
    </row>
    <row r="81" spans="1:4" x14ac:dyDescent="0.35">
      <c r="A81" s="27" t="s">
        <v>103</v>
      </c>
      <c r="B81" s="18"/>
      <c r="C81" s="26"/>
      <c r="D81" s="19"/>
    </row>
    <row r="82" spans="1:4" x14ac:dyDescent="0.35">
      <c r="A82" s="28" t="s">
        <v>76</v>
      </c>
      <c r="B82" s="2" t="s">
        <v>77</v>
      </c>
      <c r="C82" s="2" t="s">
        <v>80</v>
      </c>
      <c r="D82" s="29" t="s">
        <v>85</v>
      </c>
    </row>
    <row r="83" spans="1:4" x14ac:dyDescent="0.35">
      <c r="A83" s="20" t="s">
        <v>78</v>
      </c>
      <c r="B83">
        <v>1</v>
      </c>
      <c r="C83" s="1">
        <f>MEDIAN(E3:E11)</f>
        <v>708591.65225975704</v>
      </c>
      <c r="D83" s="21">
        <f>C83/Inputs!B7</f>
        <v>0.31160821999999999</v>
      </c>
    </row>
    <row r="84" spans="1:4" x14ac:dyDescent="0.35">
      <c r="A84" s="20" t="s">
        <v>25</v>
      </c>
      <c r="B84">
        <v>2</v>
      </c>
      <c r="C84" s="1">
        <f>MEDIAN(E13:E21)</f>
        <v>0</v>
      </c>
      <c r="D84" s="21">
        <f>C84/Inputs!B8</f>
        <v>0</v>
      </c>
    </row>
    <row r="85" spans="1:4" x14ac:dyDescent="0.35">
      <c r="A85" s="20" t="s">
        <v>33</v>
      </c>
      <c r="B85">
        <v>3</v>
      </c>
      <c r="C85" s="1">
        <f>MEDIAN(E23:E27)</f>
        <v>1330656.13032</v>
      </c>
      <c r="D85" s="21">
        <f>C85/Inputs!B12</f>
        <v>2.3593193800000001</v>
      </c>
    </row>
    <row r="86" spans="1:4" x14ac:dyDescent="0.35">
      <c r="A86" s="20" t="s">
        <v>39</v>
      </c>
      <c r="B86">
        <v>4</v>
      </c>
      <c r="C86" s="1">
        <f>MEDIAN(E29:E34)</f>
        <v>1030132.25986</v>
      </c>
      <c r="D86" s="21">
        <f>C86/Inputs!B14</f>
        <v>2.3519001366666665</v>
      </c>
    </row>
    <row r="87" spans="1:4" x14ac:dyDescent="0.35">
      <c r="A87" s="20" t="s">
        <v>40</v>
      </c>
      <c r="B87">
        <v>5</v>
      </c>
      <c r="C87" s="1">
        <f>MEDIAN(E36:E41)</f>
        <v>1472166.594501212</v>
      </c>
      <c r="D87" s="21">
        <f>C87/Inputs!B13</f>
        <v>1.8912325733333333</v>
      </c>
    </row>
    <row r="88" spans="1:4" x14ac:dyDescent="0.35">
      <c r="A88" s="20" t="s">
        <v>186</v>
      </c>
      <c r="B88">
        <v>6</v>
      </c>
      <c r="C88" s="1">
        <f>MEDIAN(E43:E47)</f>
        <v>1007937.4585329999</v>
      </c>
      <c r="D88" s="21">
        <f>C88/Inputs!B15</f>
        <v>3.8566575799999994</v>
      </c>
    </row>
    <row r="89" spans="1:4" x14ac:dyDescent="0.35">
      <c r="A89" s="20" t="s">
        <v>42</v>
      </c>
      <c r="B89">
        <v>7</v>
      </c>
      <c r="C89" s="1">
        <f>MEDIAN(E49:E53)</f>
        <v>173610.29400000002</v>
      </c>
      <c r="D89" s="21">
        <f>C89/Inputs!B11</f>
        <v>0.44515460000000007</v>
      </c>
    </row>
    <row r="90" spans="1:4" x14ac:dyDescent="0.35">
      <c r="A90" s="20" t="s">
        <v>79</v>
      </c>
      <c r="B90">
        <v>8</v>
      </c>
      <c r="C90" s="1">
        <f>MEDIAN(E55:E59)</f>
        <v>249286.57599999994</v>
      </c>
      <c r="D90" s="21">
        <f>C90/Inputs!B9</f>
        <v>1.24643288</v>
      </c>
    </row>
    <row r="91" spans="1:4" x14ac:dyDescent="0.35">
      <c r="A91" s="20" t="s">
        <v>253</v>
      </c>
      <c r="B91">
        <v>9</v>
      </c>
      <c r="C91" s="1">
        <f>MEDIAN(E61:E63)</f>
        <v>214688.54860276799</v>
      </c>
      <c r="D91" s="21">
        <f>C91/Inputs!B16</f>
        <v>0.31970194000000002</v>
      </c>
    </row>
    <row r="92" spans="1:4" ht="15" thickBot="1" x14ac:dyDescent="0.4">
      <c r="A92" s="22" t="s">
        <v>81</v>
      </c>
      <c r="B92" s="23">
        <v>10</v>
      </c>
      <c r="C92" s="24">
        <f>MEDIAN(E72:E78)</f>
        <v>1183575.0147805708</v>
      </c>
      <c r="D92" s="25">
        <f>C92/Inputs!B17</f>
        <v>0.13511375546434812</v>
      </c>
    </row>
    <row r="93" spans="1:4" ht="15" thickBot="1" x14ac:dyDescent="0.4"/>
    <row r="94" spans="1:4" x14ac:dyDescent="0.35">
      <c r="A94" s="27" t="s">
        <v>476</v>
      </c>
      <c r="B94" s="31" t="s">
        <v>350</v>
      </c>
      <c r="C94" s="31" t="s">
        <v>351</v>
      </c>
    </row>
    <row r="95" spans="1:4" x14ac:dyDescent="0.35">
      <c r="A95" s="20"/>
      <c r="B95" s="21" t="s">
        <v>182</v>
      </c>
      <c r="C95" s="21" t="s">
        <v>182</v>
      </c>
    </row>
    <row r="96" spans="1:4" x14ac:dyDescent="0.35">
      <c r="A96" s="20" t="s">
        <v>78</v>
      </c>
      <c r="B96" s="21">
        <f>(VLOOKUP(1,B3:E12,4,FALSE))/1000000</f>
        <v>0</v>
      </c>
      <c r="C96" s="21">
        <f>(VLOOKUP(1,C3:E12,3,FALSE))/1000000</f>
        <v>0.404909515577004</v>
      </c>
    </row>
    <row r="97" spans="1:9" x14ac:dyDescent="0.35">
      <c r="A97" s="20" t="s">
        <v>25</v>
      </c>
      <c r="B97" s="21">
        <f>(VLOOKUP(1,B13:E22,4,FALSE))/1000000</f>
        <v>0</v>
      </c>
      <c r="C97" s="21">
        <f>(VLOOKUP(1,C13:E22,3,FALSE))/1000000</f>
        <v>1.7588996287145182E-2</v>
      </c>
    </row>
    <row r="98" spans="1:9" x14ac:dyDescent="0.35">
      <c r="A98" s="20" t="s">
        <v>33</v>
      </c>
      <c r="B98" s="21">
        <f>(VLOOKUP(1,B23:E28,4,FALSE))/1000000</f>
        <v>0.69461923783999979</v>
      </c>
      <c r="C98" s="21">
        <f>(VLOOKUP(1,C23:E28,3,FALSE))/1000000</f>
        <v>1.33065613032</v>
      </c>
    </row>
    <row r="99" spans="1:9" x14ac:dyDescent="0.35">
      <c r="A99" s="20" t="s">
        <v>39</v>
      </c>
      <c r="B99" s="21">
        <f>(VLOOKUP(1,B29:E35,4,FALSE))/1000000</f>
        <v>0.62392868735999996</v>
      </c>
      <c r="C99" s="21">
        <f>(VLOOKUP(1,C29:E35,3,FALSE))/1000000</f>
        <v>2.31373554896</v>
      </c>
    </row>
    <row r="100" spans="1:9" x14ac:dyDescent="0.35">
      <c r="A100" s="20" t="s">
        <v>40</v>
      </c>
      <c r="B100" s="21">
        <f>(VLOOKUP(1,B36:E42,4,FALSE))/1000000</f>
        <v>1.004895457159529</v>
      </c>
      <c r="C100" s="21">
        <f>(VLOOKUP(1,C36:E42,3,FALSE))/1000000</f>
        <v>1.6748257619325486</v>
      </c>
      <c r="I100" s="51"/>
    </row>
    <row r="101" spans="1:9" x14ac:dyDescent="0.35">
      <c r="A101" s="20" t="s">
        <v>186</v>
      </c>
      <c r="B101" s="65">
        <f>(VLOOKUP(1,B43:E48,4,FALSE))/1000000</f>
        <v>0.97620805270300004</v>
      </c>
      <c r="C101" s="66">
        <f>(VLOOKUP(1,C43:E48,3,FALSE))/1000000</f>
        <v>1.7451173206499999</v>
      </c>
      <c r="I101" s="51"/>
    </row>
    <row r="102" spans="1:9" x14ac:dyDescent="0.35">
      <c r="A102" s="20" t="s">
        <v>42</v>
      </c>
      <c r="B102" s="21">
        <f>(VLOOKUP(1,B49:E54,4,FALSE))/1000000</f>
        <v>0</v>
      </c>
      <c r="C102" s="21">
        <f>(VLOOKUP(1,C49:E54,3,FALSE))/1000000</f>
        <v>0.48926537400000003</v>
      </c>
    </row>
    <row r="103" spans="1:9" x14ac:dyDescent="0.35">
      <c r="A103" s="20" t="s">
        <v>79</v>
      </c>
      <c r="B103" s="21">
        <f>(VLOOKUP(1,B55:E60,4,FALSE))/1000000</f>
        <v>0</v>
      </c>
      <c r="C103" s="21">
        <f>(VLOOKUP(1,C55:E60,3,FALSE))/1000000</f>
        <v>0.25818966799999993</v>
      </c>
    </row>
    <row r="104" spans="1:9" x14ac:dyDescent="0.35">
      <c r="A104" s="20" t="s">
        <v>399</v>
      </c>
      <c r="B104" s="62">
        <f>GrassfedTransition!B49+GrassfedTransition!B50</f>
        <v>0</v>
      </c>
      <c r="C104" s="62">
        <f>GrassfedTransition!B49+GrassfedTransition!B51</f>
        <v>0</v>
      </c>
    </row>
    <row r="105" spans="1:9" x14ac:dyDescent="0.35">
      <c r="A105" s="20" t="s">
        <v>261</v>
      </c>
      <c r="B105" s="21">
        <f>(VLOOKUP(1,B61:E64,4,FALSE))/1000000</f>
        <v>0</v>
      </c>
      <c r="C105" s="21">
        <f>(VLOOKUP(1,C61:E64,3,FALSE))/1000000</f>
        <v>0.27991038615297598</v>
      </c>
    </row>
    <row r="106" spans="1:9" x14ac:dyDescent="0.35">
      <c r="A106" s="20" t="s">
        <v>81</v>
      </c>
      <c r="B106" s="21">
        <f>'N Management Calcs'!B58/1000000</f>
        <v>1.2900153514821697</v>
      </c>
      <c r="C106" s="21">
        <f>'N Management Calcs'!B58/1000000</f>
        <v>1.2900153514821697</v>
      </c>
    </row>
    <row r="107" spans="1:9" x14ac:dyDescent="0.35">
      <c r="A107" s="20" t="s">
        <v>340</v>
      </c>
      <c r="B107" s="62">
        <f>'Manure Management Calcs'!K2</f>
        <v>1.3231858379923676</v>
      </c>
      <c r="C107" s="62">
        <f>'Manure Management Calcs'!K2</f>
        <v>1.3231858379923676</v>
      </c>
    </row>
    <row r="108" spans="1:9" x14ac:dyDescent="0.35">
      <c r="A108" s="20" t="s">
        <v>400</v>
      </c>
      <c r="B108" s="62">
        <f>Inputs!B125</f>
        <v>1</v>
      </c>
      <c r="C108" s="62">
        <f>Inputs!C125</f>
        <v>2</v>
      </c>
    </row>
    <row r="109" spans="1:9" x14ac:dyDescent="0.35">
      <c r="A109" s="20" t="s">
        <v>398</v>
      </c>
      <c r="B109" s="62">
        <f>SUM(Residues!C19:C20)</f>
        <v>0.67950835708611212</v>
      </c>
      <c r="C109" s="62">
        <f>SUM(Residues!C19:C20)</f>
        <v>0.67950835708611212</v>
      </c>
    </row>
    <row r="110" spans="1:9" x14ac:dyDescent="0.35">
      <c r="A110" s="20" t="s">
        <v>347</v>
      </c>
      <c r="B110" s="62">
        <f>'Enteric Emissions'!B8-'Enteric Emissions'!C8</f>
        <v>0</v>
      </c>
      <c r="C110" s="62">
        <f>'Enteric Emissions'!B8-'Enteric Emissions'!C8</f>
        <v>0</v>
      </c>
      <c r="H110" s="51"/>
    </row>
    <row r="111" spans="1:9" x14ac:dyDescent="0.35">
      <c r="A111" s="75" t="s">
        <v>181</v>
      </c>
      <c r="B111" s="76">
        <f>SUM(B96:B110)</f>
        <v>7.5923609816231785</v>
      </c>
      <c r="C111" s="76">
        <f>SUM(C96:C110)</f>
        <v>13.806908248440322</v>
      </c>
      <c r="H111" s="51"/>
    </row>
    <row r="112" spans="1:9" x14ac:dyDescent="0.35">
      <c r="A112" s="20"/>
      <c r="B112" s="21"/>
      <c r="C112" s="21"/>
    </row>
    <row r="113" spans="1:3" x14ac:dyDescent="0.35">
      <c r="A113" s="20" t="s">
        <v>478</v>
      </c>
      <c r="B113" s="21" t="s">
        <v>350</v>
      </c>
      <c r="C113" s="21" t="s">
        <v>351</v>
      </c>
    </row>
    <row r="114" spans="1:3" x14ac:dyDescent="0.35">
      <c r="A114" s="20" t="s">
        <v>78</v>
      </c>
      <c r="B114" s="33">
        <f>B96/Inputs!$B$2</f>
        <v>0</v>
      </c>
      <c r="C114" s="33">
        <f>C96/Inputs!$B$2</f>
        <v>2.119945107733005E-2</v>
      </c>
    </row>
    <row r="115" spans="1:3" x14ac:dyDescent="0.35">
      <c r="A115" s="20" t="s">
        <v>25</v>
      </c>
      <c r="B115" s="33">
        <f>B97/Inputs!$B$2</f>
        <v>0</v>
      </c>
      <c r="C115" s="33">
        <f>C97/Inputs!$B$2</f>
        <v>9.2088985796571631E-4</v>
      </c>
    </row>
    <row r="116" spans="1:3" x14ac:dyDescent="0.35">
      <c r="A116" s="20" t="s">
        <v>33</v>
      </c>
      <c r="B116" s="33">
        <f>B98/Inputs!$B$2</f>
        <v>3.6367499363350771E-2</v>
      </c>
      <c r="C116" s="33">
        <f>C98/Inputs!$B$2</f>
        <v>6.9667860226178005E-2</v>
      </c>
    </row>
    <row r="117" spans="1:3" x14ac:dyDescent="0.35">
      <c r="A117" s="20" t="s">
        <v>39</v>
      </c>
      <c r="B117" s="33">
        <f>B99/Inputs!$B$2</f>
        <v>3.2666423421989527E-2</v>
      </c>
      <c r="C117" s="33">
        <f>C99/Inputs!$B$2</f>
        <v>0.12113798685654449</v>
      </c>
    </row>
    <row r="118" spans="1:3" x14ac:dyDescent="0.35">
      <c r="A118" s="20" t="s">
        <v>40</v>
      </c>
      <c r="B118" s="33">
        <f>B100/Inputs!$B$2</f>
        <v>5.2612327599975334E-2</v>
      </c>
      <c r="C118" s="33">
        <f>C100/Inputs!$B$2</f>
        <v>8.7687212666625575E-2</v>
      </c>
    </row>
    <row r="119" spans="1:3" x14ac:dyDescent="0.35">
      <c r="A119" s="20" t="s">
        <v>186</v>
      </c>
      <c r="B119" s="33">
        <f>B101/Inputs!$B$2</f>
        <v>5.1110369251465969E-2</v>
      </c>
      <c r="C119" s="33">
        <f>C101/Inputs!$B$2</f>
        <v>9.1367398986910986E-2</v>
      </c>
    </row>
    <row r="120" spans="1:3" x14ac:dyDescent="0.35">
      <c r="A120" s="20" t="s">
        <v>42</v>
      </c>
      <c r="B120" s="33">
        <f>B102/Inputs!$B$2</f>
        <v>0</v>
      </c>
      <c r="C120" s="33">
        <f>C102/Inputs!$B$2</f>
        <v>2.5615988167539266E-2</v>
      </c>
    </row>
    <row r="121" spans="1:3" x14ac:dyDescent="0.35">
      <c r="A121" s="20" t="s">
        <v>79</v>
      </c>
      <c r="B121" s="33">
        <f>B103/Inputs!$B$2</f>
        <v>0</v>
      </c>
      <c r="C121" s="33">
        <f>C103/Inputs!$B$2</f>
        <v>1.3517783664921462E-2</v>
      </c>
    </row>
    <row r="122" spans="1:3" x14ac:dyDescent="0.35">
      <c r="A122" s="20" t="s">
        <v>399</v>
      </c>
      <c r="B122" s="33">
        <f>B104/Inputs!$B$2</f>
        <v>0</v>
      </c>
      <c r="C122" s="33">
        <f>C104/Inputs!$B$2</f>
        <v>0</v>
      </c>
    </row>
    <row r="123" spans="1:3" x14ac:dyDescent="0.35">
      <c r="A123" s="20" t="s">
        <v>261</v>
      </c>
      <c r="B123" s="33">
        <f>B105/Inputs!$B$2</f>
        <v>0</v>
      </c>
      <c r="C123" s="33">
        <f>C105/Inputs!$B$2</f>
        <v>1.4654994039422825E-2</v>
      </c>
    </row>
    <row r="124" spans="1:3" x14ac:dyDescent="0.35">
      <c r="A124" s="20" t="s">
        <v>81</v>
      </c>
      <c r="B124" s="33">
        <f>B106/Inputs!$B$2</f>
        <v>6.7540070758228779E-2</v>
      </c>
      <c r="C124" s="33">
        <f>C106/Inputs!$B$2</f>
        <v>6.7540070758228779E-2</v>
      </c>
    </row>
    <row r="125" spans="1:3" x14ac:dyDescent="0.35">
      <c r="A125" s="20" t="s">
        <v>340</v>
      </c>
      <c r="B125" s="33">
        <f>B107/Inputs!$B$2</f>
        <v>6.9276745444626572E-2</v>
      </c>
      <c r="C125" s="33">
        <f>C107/Inputs!$B$2</f>
        <v>6.9276745444626572E-2</v>
      </c>
    </row>
    <row r="126" spans="1:3" x14ac:dyDescent="0.35">
      <c r="A126" s="20" t="s">
        <v>400</v>
      </c>
      <c r="B126" s="33">
        <f>B108/Inputs!$B$2</f>
        <v>5.235602094240837E-2</v>
      </c>
      <c r="C126" s="33">
        <f>C108/Inputs!$B$2</f>
        <v>0.10471204188481674</v>
      </c>
    </row>
    <row r="127" spans="1:3" x14ac:dyDescent="0.35">
      <c r="A127" s="20" t="s">
        <v>398</v>
      </c>
      <c r="B127" s="33">
        <f>B109/Inputs!$B$2</f>
        <v>3.5576353774141992E-2</v>
      </c>
      <c r="C127" s="33">
        <f>C109/Inputs!$B$2</f>
        <v>3.5576353774141992E-2</v>
      </c>
    </row>
    <row r="128" spans="1:3" x14ac:dyDescent="0.35">
      <c r="A128" s="20" t="s">
        <v>347</v>
      </c>
      <c r="B128" s="33">
        <f>B110/Inputs!$B$2</f>
        <v>0</v>
      </c>
      <c r="C128" s="33">
        <f>C110/Inputs!$B$2</f>
        <v>0</v>
      </c>
    </row>
    <row r="129" spans="1:3" ht="15" thickBot="1" x14ac:dyDescent="0.4">
      <c r="A129" s="32" t="s">
        <v>181</v>
      </c>
      <c r="B129" s="77">
        <f>B111/Inputs!$B$2</f>
        <v>0.39750581055618733</v>
      </c>
      <c r="C129" s="77">
        <f>C111/Inputs!$B$2</f>
        <v>0.72287477740525241</v>
      </c>
    </row>
    <row r="151" spans="5:7" x14ac:dyDescent="0.35">
      <c r="F151" s="51"/>
      <c r="G151" s="51"/>
    </row>
    <row r="154" spans="5:7" x14ac:dyDescent="0.35">
      <c r="E154" s="35"/>
    </row>
    <row r="157" spans="5:7" x14ac:dyDescent="0.35">
      <c r="E157" s="35"/>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3A9A3-C906-4E4A-8DAD-ACFEEFF9B52C}">
  <dimension ref="A1:Q63"/>
  <sheetViews>
    <sheetView workbookViewId="0">
      <selection activeCell="D25" sqref="D25"/>
    </sheetView>
  </sheetViews>
  <sheetFormatPr defaultRowHeight="14.5" x14ac:dyDescent="0.35"/>
  <cols>
    <col min="1" max="1" width="56.6328125" customWidth="1"/>
    <col min="2" max="2" width="20.1796875" customWidth="1"/>
    <col min="3" max="3" width="11.81640625" bestFit="1" customWidth="1"/>
    <col min="4" max="4" width="11.90625" bestFit="1" customWidth="1"/>
    <col min="5" max="5" width="11.81640625" bestFit="1" customWidth="1"/>
    <col min="6" max="6" width="13.26953125" bestFit="1" customWidth="1"/>
    <col min="7" max="7" width="31.08984375" bestFit="1" customWidth="1"/>
    <col min="8" max="8" width="23.26953125" bestFit="1" customWidth="1"/>
    <col min="11" max="11" width="19.08984375" bestFit="1" customWidth="1"/>
    <col min="12" max="12" width="13.6328125" bestFit="1" customWidth="1"/>
    <col min="13" max="13" width="19.54296875" bestFit="1" customWidth="1"/>
    <col min="14" max="14" width="11.90625" customWidth="1"/>
    <col min="15" max="15" width="12.453125" customWidth="1"/>
    <col min="16" max="16" width="13.7265625" customWidth="1"/>
    <col min="17" max="17" width="15.7265625" customWidth="1"/>
  </cols>
  <sheetData>
    <row r="1" spans="1:17" ht="15" thickBot="1" x14ac:dyDescent="0.4">
      <c r="B1" s="51"/>
    </row>
    <row r="2" spans="1:17" x14ac:dyDescent="0.35">
      <c r="A2" s="129" t="s">
        <v>503</v>
      </c>
      <c r="B2" s="130"/>
    </row>
    <row r="3" spans="1:17" x14ac:dyDescent="0.35">
      <c r="A3" s="20" t="s">
        <v>404</v>
      </c>
      <c r="B3" s="62">
        <f>Inputs!B128*Inputs!B129</f>
        <v>14438230000</v>
      </c>
    </row>
    <row r="4" spans="1:17" x14ac:dyDescent="0.35">
      <c r="A4" s="20" t="s">
        <v>406</v>
      </c>
      <c r="B4" s="62">
        <f>B3/Inputs!B130</f>
        <v>1269964.8166065617</v>
      </c>
    </row>
    <row r="5" spans="1:17" x14ac:dyDescent="0.35">
      <c r="A5" s="20" t="s">
        <v>419</v>
      </c>
      <c r="B5" s="62">
        <f>(B3/1000000000)*Inputs!B134*Inputs!B136</f>
        <v>17.818535317562727</v>
      </c>
    </row>
    <row r="6" spans="1:17" x14ac:dyDescent="0.35">
      <c r="A6" s="20" t="s">
        <v>408</v>
      </c>
      <c r="B6" s="62">
        <f>Inputs!B128*Inputs!B138</f>
        <v>6250060832</v>
      </c>
    </row>
    <row r="7" spans="1:17" x14ac:dyDescent="0.35">
      <c r="A7" s="20" t="s">
        <v>410</v>
      </c>
      <c r="B7" s="62">
        <f>B6/Inputs!B139</f>
        <v>941132.48486673692</v>
      </c>
    </row>
    <row r="8" spans="1:17" x14ac:dyDescent="0.35">
      <c r="A8" s="20" t="s">
        <v>420</v>
      </c>
      <c r="B8" s="62">
        <f>(B6/1000000000)*Inputs!B135*Inputs!B137</f>
        <v>8.7006660791516257</v>
      </c>
    </row>
    <row r="9" spans="1:17" x14ac:dyDescent="0.35">
      <c r="A9" s="20" t="s">
        <v>431</v>
      </c>
      <c r="B9" s="62">
        <f>(B5-B8)*Inputs!B140</f>
        <v>7.750188852649436</v>
      </c>
    </row>
    <row r="10" spans="1:17" x14ac:dyDescent="0.35">
      <c r="A10" s="20" t="s">
        <v>501</v>
      </c>
      <c r="B10" s="62">
        <f>(Inputs!B131*Inputs!B141)/1000000</f>
        <v>0</v>
      </c>
      <c r="D10" s="67"/>
      <c r="E10" s="67"/>
      <c r="F10" s="67"/>
      <c r="G10" s="67"/>
      <c r="H10" s="67"/>
      <c r="K10" s="67"/>
      <c r="L10" s="67"/>
      <c r="M10" s="67"/>
      <c r="N10" s="67"/>
      <c r="O10" s="67"/>
      <c r="P10" s="67"/>
      <c r="Q10" s="67"/>
    </row>
    <row r="11" spans="1:17" ht="15" thickBot="1" x14ac:dyDescent="0.4">
      <c r="A11" s="22" t="s">
        <v>424</v>
      </c>
      <c r="B11" s="121">
        <f>(Inputs!B131*Inputs!B142)/1000000</f>
        <v>1.106096</v>
      </c>
      <c r="D11" s="67"/>
      <c r="E11" s="67"/>
      <c r="F11" s="67"/>
      <c r="G11" s="67"/>
      <c r="H11" s="67"/>
      <c r="K11" s="67"/>
      <c r="L11" s="67"/>
      <c r="M11" s="67"/>
      <c r="N11" s="67"/>
      <c r="O11" s="67"/>
      <c r="P11" s="67"/>
      <c r="Q11" s="67"/>
    </row>
    <row r="12" spans="1:17" ht="15" thickBot="1" x14ac:dyDescent="0.4"/>
    <row r="13" spans="1:17" x14ac:dyDescent="0.35">
      <c r="A13" s="129" t="s">
        <v>425</v>
      </c>
      <c r="B13" s="123"/>
    </row>
    <row r="14" spans="1:17" x14ac:dyDescent="0.35">
      <c r="A14" s="20" t="s">
        <v>426</v>
      </c>
      <c r="B14" s="62">
        <f>(Inputs!B128*Inputs!B129)/Inputs!B130</f>
        <v>1269964.8166065617</v>
      </c>
      <c r="D14" s="67"/>
      <c r="G14" s="67"/>
      <c r="H14" s="67"/>
    </row>
    <row r="15" spans="1:17" x14ac:dyDescent="0.35">
      <c r="A15" s="20" t="s">
        <v>427</v>
      </c>
      <c r="B15" s="128">
        <f>B14*Inputs!B139</f>
        <v>8433836347.0841761</v>
      </c>
      <c r="G15" s="67"/>
      <c r="H15" s="67"/>
    </row>
    <row r="16" spans="1:17" x14ac:dyDescent="0.35">
      <c r="A16" s="20" t="s">
        <v>428</v>
      </c>
      <c r="B16" s="62">
        <f>B15/Inputs!B138</f>
        <v>1074921.7878006853</v>
      </c>
    </row>
    <row r="17" spans="1:17" x14ac:dyDescent="0.35">
      <c r="A17" s="20" t="s">
        <v>435</v>
      </c>
      <c r="B17" s="62">
        <f>Inputs!B128</f>
        <v>796592</v>
      </c>
    </row>
    <row r="18" spans="1:17" x14ac:dyDescent="0.35">
      <c r="A18" s="20" t="s">
        <v>436</v>
      </c>
      <c r="B18" s="62">
        <f>Inputs!B131</f>
        <v>345655</v>
      </c>
    </row>
    <row r="19" spans="1:17" x14ac:dyDescent="0.35">
      <c r="A19" s="20" t="s">
        <v>443</v>
      </c>
      <c r="B19" s="62">
        <f>Inputs!B132</f>
        <v>202430</v>
      </c>
      <c r="D19" s="67"/>
      <c r="G19" s="67"/>
      <c r="H19" s="67"/>
    </row>
    <row r="20" spans="1:17" x14ac:dyDescent="0.35">
      <c r="A20" s="20" t="s">
        <v>444</v>
      </c>
      <c r="B20" s="62">
        <f>Inputs!B133</f>
        <v>143225</v>
      </c>
      <c r="D20" s="67"/>
      <c r="G20" s="67"/>
      <c r="H20" s="67"/>
    </row>
    <row r="21" spans="1:17" x14ac:dyDescent="0.35">
      <c r="A21" s="20" t="s">
        <v>429</v>
      </c>
      <c r="B21" s="62">
        <f>B16-Inputs!B128</f>
        <v>278329.78780068527</v>
      </c>
      <c r="C21" s="1"/>
      <c r="D21" s="67"/>
      <c r="G21" s="67"/>
      <c r="H21" s="67"/>
    </row>
    <row r="22" spans="1:17" x14ac:dyDescent="0.35">
      <c r="A22" s="20" t="s">
        <v>430</v>
      </c>
      <c r="B22" s="128">
        <f>(B15/1000000000)*Inputs!B135*Inputs!B137</f>
        <v>11.740684738057178</v>
      </c>
    </row>
    <row r="23" spans="1:17" x14ac:dyDescent="0.35">
      <c r="A23" s="20" t="s">
        <v>431</v>
      </c>
      <c r="B23" s="62">
        <f>(B5-B22)*Inputs!B140</f>
        <v>5.1661729925797166</v>
      </c>
    </row>
    <row r="24" spans="1:17" x14ac:dyDescent="0.35">
      <c r="A24" s="20" t="s">
        <v>501</v>
      </c>
      <c r="B24" s="62">
        <f>((B21+Inputs!B131)*Inputs!B141)/1000000</f>
        <v>0</v>
      </c>
      <c r="D24" s="67"/>
      <c r="E24" s="67"/>
      <c r="F24" s="67"/>
      <c r="G24" s="67"/>
      <c r="H24" s="67"/>
      <c r="K24" s="67"/>
      <c r="L24" s="67"/>
      <c r="M24" s="67"/>
      <c r="N24" s="67"/>
      <c r="O24" s="67"/>
      <c r="P24" s="67"/>
      <c r="Q24" s="67"/>
    </row>
    <row r="25" spans="1:17" x14ac:dyDescent="0.35">
      <c r="A25" s="20" t="s">
        <v>424</v>
      </c>
      <c r="B25" s="62">
        <f>((B21+Inputs!B131)*Inputs!B142)/1000000</f>
        <v>1.996751320962193</v>
      </c>
    </row>
    <row r="26" spans="1:17" x14ac:dyDescent="0.35">
      <c r="A26" s="20" t="s">
        <v>442</v>
      </c>
      <c r="B26" s="62">
        <f>(((B19*2.47105)*'N Management Calcs'!M27)+((B20*2.47105)*'N Management Calcs'!M32))/2205</f>
        <v>41636.380023242629</v>
      </c>
    </row>
    <row r="27" spans="1:17" ht="15" thickBot="1" x14ac:dyDescent="0.4">
      <c r="A27" s="22" t="s">
        <v>441</v>
      </c>
      <c r="B27" s="121">
        <f>(((B21*2.47*'N Management Calcs'!M42)*'N Management Calcs'!M28)+((B21*2.47*'N Management Calcs'!M43)*'N Management Calcs'!M33))/2205</f>
        <v>36142.565062632653</v>
      </c>
    </row>
    <row r="28" spans="1:17" x14ac:dyDescent="0.35">
      <c r="G28" s="67"/>
      <c r="H28" s="67"/>
    </row>
    <row r="29" spans="1:17" ht="15" thickBot="1" x14ac:dyDescent="0.4">
      <c r="B29" s="1"/>
    </row>
    <row r="30" spans="1:17" x14ac:dyDescent="0.35">
      <c r="A30" s="129" t="s">
        <v>508</v>
      </c>
      <c r="B30" s="123"/>
    </row>
    <row r="31" spans="1:17" x14ac:dyDescent="0.35">
      <c r="A31" s="20" t="s">
        <v>432</v>
      </c>
      <c r="B31" s="62">
        <f>B3*(Inputs!B145/100)</f>
        <v>3609557500</v>
      </c>
    </row>
    <row r="32" spans="1:17" x14ac:dyDescent="0.35">
      <c r="A32" s="20" t="s">
        <v>433</v>
      </c>
      <c r="B32" s="62">
        <f>B31/Inputs!B138</f>
        <v>460050.66275809327</v>
      </c>
      <c r="C32" s="67"/>
    </row>
    <row r="33" spans="1:2" x14ac:dyDescent="0.35">
      <c r="A33" s="20" t="s">
        <v>434</v>
      </c>
      <c r="B33" s="62">
        <f>B31/Inputs!B139</f>
        <v>543526.20087336248</v>
      </c>
    </row>
    <row r="34" spans="1:2" x14ac:dyDescent="0.35">
      <c r="A34" s="20" t="s">
        <v>435</v>
      </c>
      <c r="B34" s="128">
        <f>B31*(Inputs!B128/B3)</f>
        <v>199148</v>
      </c>
    </row>
    <row r="35" spans="1:2" x14ac:dyDescent="0.35">
      <c r="A35" s="20" t="s">
        <v>436</v>
      </c>
      <c r="B35" s="128">
        <f>B31*(Inputs!B131/B3)</f>
        <v>86413.75</v>
      </c>
    </row>
    <row r="36" spans="1:2" x14ac:dyDescent="0.35">
      <c r="A36" s="20" t="s">
        <v>443</v>
      </c>
      <c r="B36" s="128">
        <f>B31*(Inputs!B132/B3)</f>
        <v>50607.5</v>
      </c>
    </row>
    <row r="37" spans="1:2" x14ac:dyDescent="0.35">
      <c r="A37" s="20" t="s">
        <v>444</v>
      </c>
      <c r="B37" s="128">
        <f>B31*(Inputs!B133/B3)</f>
        <v>35806.25</v>
      </c>
    </row>
    <row r="38" spans="1:2" x14ac:dyDescent="0.35">
      <c r="A38" s="20" t="s">
        <v>542</v>
      </c>
      <c r="B38" s="62">
        <f>B32-B34</f>
        <v>260902.66275809327</v>
      </c>
    </row>
    <row r="39" spans="1:2" x14ac:dyDescent="0.35">
      <c r="A39" s="20" t="s">
        <v>437</v>
      </c>
      <c r="B39" s="62">
        <f>(((B31*Inputs!B135)*Inputs!B137)+((B3*(1-(Inputs!B145/100))*Inputs!B134)*Inputs!B136))/1000000000</f>
        <v>18.388741300962739</v>
      </c>
    </row>
    <row r="40" spans="1:2" x14ac:dyDescent="0.35">
      <c r="A40" s="20" t="s">
        <v>431</v>
      </c>
      <c r="B40" s="62">
        <f>(B5-B39)*Inputs!B140</f>
        <v>-0.48467508589000996</v>
      </c>
    </row>
    <row r="41" spans="1:2" x14ac:dyDescent="0.35">
      <c r="A41" s="20" t="s">
        <v>510</v>
      </c>
      <c r="B41" s="62">
        <f>((B35+B38)*Inputs!B141)/1000000</f>
        <v>0</v>
      </c>
    </row>
    <row r="42" spans="1:2" x14ac:dyDescent="0.35">
      <c r="A42" s="20" t="s">
        <v>438</v>
      </c>
      <c r="B42" s="62">
        <f>((B35+B38)*Inputs!B142)/1000000</f>
        <v>1.1114125208258985</v>
      </c>
    </row>
    <row r="43" spans="1:2" x14ac:dyDescent="0.35">
      <c r="A43" s="20" t="s">
        <v>442</v>
      </c>
      <c r="B43" s="62">
        <f>(((B36*2.47105)*'N Management Calcs'!M27)+((B37*2.47105)*'N Management Calcs'!M32))/2205</f>
        <v>10409.095005810657</v>
      </c>
    </row>
    <row r="44" spans="1:2" ht="15" thickBot="1" x14ac:dyDescent="0.4">
      <c r="A44" s="22" t="s">
        <v>441</v>
      </c>
      <c r="B44" s="121">
        <f>(((B38*2.47*'N Management Calcs'!M42)*'N Management Calcs'!M27)+((B38*2.47*'N Management Calcs'!M43)*'N Management Calcs'!M32))/2205</f>
        <v>33879.562580276841</v>
      </c>
    </row>
    <row r="46" spans="1:2" ht="15" thickBot="1" x14ac:dyDescent="0.4"/>
    <row r="47" spans="1:2" x14ac:dyDescent="0.35">
      <c r="A47" s="124" t="s">
        <v>509</v>
      </c>
      <c r="B47" s="125"/>
    </row>
    <row r="48" spans="1:2" x14ac:dyDescent="0.35">
      <c r="A48" s="99" t="s">
        <v>542</v>
      </c>
      <c r="B48" s="126">
        <f>IF(Inputs!B144=1,0,IF(Inputs!B144=2,B21,IF(Inputs!B144=3,B38,0)))</f>
        <v>0</v>
      </c>
    </row>
    <row r="49" spans="1:5" x14ac:dyDescent="0.35">
      <c r="A49" s="99" t="s">
        <v>431</v>
      </c>
      <c r="B49" s="126">
        <f>IF(Inputs!B144=1,B9,IF(Inputs!B144=2,B23,IF(Inputs!B144=3,B40,0)))</f>
        <v>0</v>
      </c>
    </row>
    <row r="50" spans="1:5" x14ac:dyDescent="0.35">
      <c r="A50" s="99" t="s">
        <v>438</v>
      </c>
      <c r="B50" s="126">
        <f>IF(Inputs!B144=1,B10,IF(Inputs!B144=2,B24,IF(Inputs!B144=3,B41,0)))</f>
        <v>0</v>
      </c>
    </row>
    <row r="51" spans="1:5" x14ac:dyDescent="0.35">
      <c r="A51" s="99" t="s">
        <v>438</v>
      </c>
      <c r="B51" s="126">
        <f>IF(Inputs!B144=1,B11,IF(Inputs!B144=2,B25,IF(Inputs!B144=3,B42,0)))</f>
        <v>0</v>
      </c>
    </row>
    <row r="52" spans="1:5" x14ac:dyDescent="0.35">
      <c r="A52" s="99" t="s">
        <v>442</v>
      </c>
      <c r="B52" s="126">
        <f>IF(Inputs!B144=1,0,IF(Inputs!B144=2,B26,IF(Inputs!B144=3,B43,0)))</f>
        <v>0</v>
      </c>
      <c r="E52" s="1"/>
    </row>
    <row r="53" spans="1:5" ht="15" thickBot="1" x14ac:dyDescent="0.4">
      <c r="A53" s="101" t="s">
        <v>441</v>
      </c>
      <c r="B53" s="127">
        <f>IF(Inputs!B144=1,0,IF(Inputs!B144=2,B27,IF(Inputs!B144=3,B44,0)))</f>
        <v>0</v>
      </c>
      <c r="E53" s="4"/>
    </row>
    <row r="54" spans="1:5" x14ac:dyDescent="0.35">
      <c r="B54" s="67"/>
      <c r="E54" s="4"/>
    </row>
    <row r="55" spans="1:5" x14ac:dyDescent="0.35">
      <c r="E55" s="4"/>
    </row>
    <row r="56" spans="1:5" x14ac:dyDescent="0.35">
      <c r="E56" s="4"/>
    </row>
    <row r="57" spans="1:5" x14ac:dyDescent="0.35">
      <c r="E57" s="67"/>
    </row>
    <row r="61" spans="1:5" x14ac:dyDescent="0.35">
      <c r="E61" s="67"/>
    </row>
    <row r="62" spans="1:5" x14ac:dyDescent="0.35">
      <c r="E62" s="67"/>
    </row>
    <row r="63" spans="1:5" x14ac:dyDescent="0.35">
      <c r="E63" s="67"/>
    </row>
  </sheetData>
  <phoneticPr fontId="2"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D955E-1A73-4136-9C25-AF824351E87D}">
  <dimension ref="A1:R58"/>
  <sheetViews>
    <sheetView topLeftCell="G15" workbookViewId="0">
      <selection activeCell="K41" sqref="K41"/>
    </sheetView>
  </sheetViews>
  <sheetFormatPr defaultColWidth="8.81640625" defaultRowHeight="14.5" x14ac:dyDescent="0.35"/>
  <cols>
    <col min="1" max="1" width="69.7265625" customWidth="1"/>
    <col min="2" max="2" width="12" bestFit="1" customWidth="1"/>
    <col min="6" max="6" width="11.1796875" customWidth="1"/>
    <col min="7" max="7" width="52.54296875" customWidth="1"/>
    <col min="8" max="8" width="16.453125" customWidth="1"/>
    <col min="12" max="12" width="38.90625" customWidth="1"/>
    <col min="13" max="13" width="10" bestFit="1" customWidth="1"/>
    <col min="15" max="15" width="16.90625" customWidth="1"/>
    <col min="16" max="16" width="17" customWidth="1"/>
  </cols>
  <sheetData>
    <row r="1" spans="1:15" x14ac:dyDescent="0.35">
      <c r="A1" s="27" t="s">
        <v>104</v>
      </c>
      <c r="B1" s="19"/>
      <c r="G1" s="27" t="s">
        <v>105</v>
      </c>
      <c r="H1" s="19"/>
      <c r="L1" s="27" t="s">
        <v>519</v>
      </c>
      <c r="M1" s="18"/>
      <c r="N1" s="18"/>
      <c r="O1" s="19"/>
    </row>
    <row r="2" spans="1:15" x14ac:dyDescent="0.35">
      <c r="A2" s="20" t="s">
        <v>513</v>
      </c>
      <c r="B2" s="21">
        <f>Inputs!B18</f>
        <v>320603.092</v>
      </c>
      <c r="G2" s="20" t="s">
        <v>514</v>
      </c>
      <c r="H2" s="21">
        <f>Inputs!B18*(1-(Inputs!B19/100))</f>
        <v>256482.47360000003</v>
      </c>
      <c r="L2" s="20" t="s">
        <v>47</v>
      </c>
      <c r="M2">
        <f>IF(Inputs!C103=1,1,"")</f>
        <v>1</v>
      </c>
      <c r="N2">
        <f>Inputs!B103</f>
        <v>4.41</v>
      </c>
      <c r="O2" s="21"/>
    </row>
    <row r="3" spans="1:15" ht="15" thickBot="1" x14ac:dyDescent="0.4">
      <c r="A3" s="22" t="s">
        <v>83</v>
      </c>
      <c r="B3" s="25">
        <f>(B2*1000)/(Inputs!B17*0.404686)</f>
        <v>90.438490050060892</v>
      </c>
      <c r="G3" s="22" t="s">
        <v>515</v>
      </c>
      <c r="H3" s="25">
        <f>(H2*1000)/(Inputs!B17*0.404686)</f>
        <v>72.350792040048717</v>
      </c>
      <c r="L3" s="20" t="s">
        <v>48</v>
      </c>
      <c r="M3" t="str">
        <f>IF(Inputs!C104=1,1,"")</f>
        <v/>
      </c>
      <c r="N3">
        <f>Inputs!B104</f>
        <v>3.9</v>
      </c>
      <c r="O3" s="21"/>
    </row>
    <row r="4" spans="1:15" x14ac:dyDescent="0.35">
      <c r="A4" s="2"/>
      <c r="B4" s="2"/>
      <c r="I4" s="68"/>
      <c r="L4" s="20" t="s">
        <v>520</v>
      </c>
      <c r="M4" t="str">
        <f>IF(Inputs!C105=1,1,"")</f>
        <v/>
      </c>
      <c r="N4">
        <f>Inputs!B105</f>
        <v>3.2</v>
      </c>
      <c r="O4" s="21"/>
    </row>
    <row r="5" spans="1:15" x14ac:dyDescent="0.35">
      <c r="A5" t="s">
        <v>82</v>
      </c>
      <c r="B5">
        <f>B42*'N Management Calcs'!B2</f>
        <v>1413859.6357200001</v>
      </c>
      <c r="G5" t="s">
        <v>82</v>
      </c>
      <c r="H5">
        <f>B42*'N Management Calcs'!H2</f>
        <v>1131087.7085760001</v>
      </c>
      <c r="L5" s="20" t="s">
        <v>521</v>
      </c>
      <c r="M5" t="str">
        <f>IF(Inputs!C106=1,1,"")</f>
        <v/>
      </c>
      <c r="N5">
        <f>Inputs!B106</f>
        <v>6.6</v>
      </c>
      <c r="O5" s="21"/>
    </row>
    <row r="6" spans="1:15" x14ac:dyDescent="0.35">
      <c r="L6" s="20" t="s">
        <v>522</v>
      </c>
      <c r="M6" t="str">
        <f>IF(Inputs!C107=1,1,"")</f>
        <v/>
      </c>
      <c r="N6">
        <f>Inputs!B107</f>
        <v>0</v>
      </c>
      <c r="O6" s="21"/>
    </row>
    <row r="7" spans="1:15" x14ac:dyDescent="0.35">
      <c r="A7" t="s">
        <v>196</v>
      </c>
      <c r="B7">
        <f>($B$2)*(Inputs!B108/100)*(44/28)*298</f>
        <v>2402141.5670308573</v>
      </c>
      <c r="G7" t="s">
        <v>196</v>
      </c>
      <c r="H7" s="136">
        <f>($H$2)*(Inputs!B108/100)*(44/28)*298</f>
        <v>1921713.253624686</v>
      </c>
      <c r="L7" s="20"/>
      <c r="O7" s="21"/>
    </row>
    <row r="8" spans="1:15" x14ac:dyDescent="0.35">
      <c r="A8" t="s">
        <v>197</v>
      </c>
      <c r="B8">
        <f>($B$2)*(Inputs!B109/100)*(44/28)*298</f>
        <v>2627342.3389400006</v>
      </c>
      <c r="G8" t="s">
        <v>197</v>
      </c>
      <c r="H8" s="136">
        <f>($H$2)*(Inputs!B109/100)*(44/28)*298</f>
        <v>2101873.8711520005</v>
      </c>
      <c r="L8" s="28" t="s">
        <v>523</v>
      </c>
      <c r="O8" s="21"/>
    </row>
    <row r="9" spans="1:15" x14ac:dyDescent="0.35">
      <c r="A9" t="s">
        <v>198</v>
      </c>
      <c r="B9">
        <f>($B$2)*(Inputs!B110/100)*(44/28)*298</f>
        <v>1951740.0232125714</v>
      </c>
      <c r="G9" t="s">
        <v>198</v>
      </c>
      <c r="H9" s="136">
        <f>($H$2)*(Inputs!B110/100)*(44/28)*298</f>
        <v>1561392.0185700576</v>
      </c>
      <c r="L9" s="20" t="s">
        <v>228</v>
      </c>
      <c r="M9" t="str">
        <f>IF(Inputs!C108=1,1,"")</f>
        <v/>
      </c>
      <c r="N9" cm="1">
        <f t="array" ref="N9:N23">Inputs!B108:B122</f>
        <v>1.6</v>
      </c>
      <c r="O9" s="21"/>
    </row>
    <row r="10" spans="1:15" x14ac:dyDescent="0.35">
      <c r="A10" t="s">
        <v>199</v>
      </c>
      <c r="B10">
        <f>($B$2)*(Inputs!B111/100)*(44/28)*298</f>
        <v>1246110.937897257</v>
      </c>
      <c r="F10" s="2"/>
      <c r="G10" t="s">
        <v>199</v>
      </c>
      <c r="H10" s="136">
        <f>($H$2)*(Inputs!B111/100)*(44/28)*298</f>
        <v>996888.75031780568</v>
      </c>
      <c r="L10" s="20" t="s">
        <v>57</v>
      </c>
      <c r="M10" t="str">
        <f>IF(Inputs!C109=1,1,"")</f>
        <v/>
      </c>
      <c r="N10">
        <v>1.75</v>
      </c>
      <c r="O10" s="21"/>
    </row>
    <row r="11" spans="1:15" x14ac:dyDescent="0.35">
      <c r="A11" t="s">
        <v>200</v>
      </c>
      <c r="B11">
        <f>($B$2)*(Inputs!B112/100)*(44/28)*298</f>
        <v>1381231.4010427429</v>
      </c>
      <c r="G11" t="s">
        <v>200</v>
      </c>
      <c r="H11" s="136">
        <f>($H$2)*(Inputs!B112/100)*(44/28)*298</f>
        <v>1104985.1208341944</v>
      </c>
      <c r="L11" s="20" t="s">
        <v>58</v>
      </c>
      <c r="M11" t="str">
        <f>IF(Inputs!C110=1,1,"")</f>
        <v/>
      </c>
      <c r="N11">
        <v>1.3</v>
      </c>
      <c r="O11" s="21"/>
    </row>
    <row r="12" spans="1:15" x14ac:dyDescent="0.35">
      <c r="A12" t="s">
        <v>202</v>
      </c>
      <c r="B12">
        <f>((((((6.49+((B3)*0.0187))*(B3))/1000)*(Inputs!B17*0.404686))*(44/28))/1000)*298</f>
        <v>1228275.0013208773</v>
      </c>
      <c r="G12" t="s">
        <v>202</v>
      </c>
      <c r="H12" s="136">
        <f>((((((6.49+((H3)*0.0187))*(H3))/1000)*(Inputs!B17*0.404686))*(44/28))/1000)*298</f>
        <v>941994.988545664</v>
      </c>
      <c r="L12" s="20" t="s">
        <v>524</v>
      </c>
      <c r="M12" t="str">
        <f>IF(Inputs!C111=1,1,"")</f>
        <v/>
      </c>
      <c r="N12">
        <v>0.83</v>
      </c>
      <c r="O12" s="21"/>
    </row>
    <row r="13" spans="1:15" x14ac:dyDescent="0.35">
      <c r="A13" t="s">
        <v>201</v>
      </c>
      <c r="B13">
        <f>((((((4.36+((B3)*0.025))*(B3))/1000)*(Inputs!B17*0.404686))*(44/28))/1000)*298</f>
        <v>994030.53984209301</v>
      </c>
      <c r="G13" t="s">
        <v>201</v>
      </c>
      <c r="H13" s="136">
        <f>((((((4.36+((H3)*0.025))*(H3))/1000)*(Inputs!B17*0.404686))*(44/28))/1000)*298</f>
        <v>740912.91782148485</v>
      </c>
      <c r="L13" s="20" t="s">
        <v>525</v>
      </c>
      <c r="M13" t="str">
        <f>IF(Inputs!C112=1,1,"")</f>
        <v/>
      </c>
      <c r="N13">
        <v>0.92</v>
      </c>
      <c r="O13" s="21"/>
    </row>
    <row r="14" spans="1:15" x14ac:dyDescent="0.35">
      <c r="A14" t="s">
        <v>248</v>
      </c>
      <c r="B14">
        <f>($B$2)*(Inputs!B115/100)*(44/28)*298</f>
        <v>1801606.175273143</v>
      </c>
      <c r="G14" t="s">
        <v>248</v>
      </c>
      <c r="H14" s="136">
        <f>($H$2)*(Inputs!B115/100)*(44/28)*298</f>
        <v>1441284.9402185145</v>
      </c>
      <c r="L14" s="20" t="s">
        <v>62</v>
      </c>
      <c r="M14" t="str">
        <f>IF(Inputs!C113=1,1,"")</f>
        <v/>
      </c>
      <c r="N14" t="str">
        <v>(6.49+0.0187N)*N</v>
      </c>
      <c r="O14" s="21"/>
    </row>
    <row r="15" spans="1:15" x14ac:dyDescent="0.35">
      <c r="A15" t="s">
        <v>249</v>
      </c>
      <c r="B15">
        <f>($B$2)*(Inputs!B116/100)*(44/28)*298</f>
        <v>2792489.5716733714</v>
      </c>
      <c r="G15" t="s">
        <v>249</v>
      </c>
      <c r="H15" s="136">
        <f>($H$2)*(Inputs!B116/100)*(44/28)*298</f>
        <v>2233991.6573386975</v>
      </c>
      <c r="L15" s="20" t="s">
        <v>65</v>
      </c>
      <c r="M15" t="str">
        <f>IF(Inputs!C114=1,1,"")</f>
        <v/>
      </c>
      <c r="N15" t="str">
        <v>(4.36+0.0025N)*N</v>
      </c>
      <c r="O15" s="21"/>
    </row>
    <row r="16" spans="1:15" x14ac:dyDescent="0.35">
      <c r="A16" t="s">
        <v>203</v>
      </c>
      <c r="B16">
        <f>($B$2)*(Inputs!B117/100)*(44/28)*298</f>
        <v>8257361.6366685713</v>
      </c>
      <c r="G16" t="s">
        <v>203</v>
      </c>
      <c r="H16" s="136">
        <f>($H$2)*(Inputs!B117/100)*(44/28)*298</f>
        <v>6605889.3093348574</v>
      </c>
      <c r="L16" s="20" t="s">
        <v>230</v>
      </c>
      <c r="M16">
        <f>IF(Inputs!C115=1,1,"")</f>
        <v>1</v>
      </c>
      <c r="N16">
        <v>1.2</v>
      </c>
      <c r="O16" s="21"/>
    </row>
    <row r="17" spans="1:18" x14ac:dyDescent="0.35">
      <c r="A17" t="s">
        <v>204</v>
      </c>
      <c r="B17">
        <f>($B$2)*(Inputs!B118/100)*(44/28)*298</f>
        <v>6080420.8415468577</v>
      </c>
      <c r="G17" t="s">
        <v>204</v>
      </c>
      <c r="H17" s="136">
        <f>($H$2)*(Inputs!B118/100)*(44/28)*298</f>
        <v>4864336.6732374858</v>
      </c>
      <c r="L17" s="20" t="s">
        <v>228</v>
      </c>
      <c r="M17" t="str">
        <f>IF(Inputs!C116=1,1,"")</f>
        <v/>
      </c>
      <c r="N17">
        <v>1.86</v>
      </c>
      <c r="O17" s="21"/>
    </row>
    <row r="18" spans="1:18" x14ac:dyDescent="0.35">
      <c r="A18" t="s">
        <v>205</v>
      </c>
      <c r="B18">
        <f>($B$2)*(Inputs!B119/100)*(44/28)*298</f>
        <v>4504015.4381828569</v>
      </c>
      <c r="G18" t="s">
        <v>205</v>
      </c>
      <c r="H18" s="136">
        <f>($H$2)*(Inputs!B119/100)*(44/28)*298</f>
        <v>3603212.350546286</v>
      </c>
      <c r="L18" s="20" t="s">
        <v>69</v>
      </c>
      <c r="M18" t="str">
        <f>IF(Inputs!C117=1,1,"")</f>
        <v/>
      </c>
      <c r="N18">
        <v>5.5</v>
      </c>
      <c r="O18" s="21"/>
    </row>
    <row r="19" spans="1:18" x14ac:dyDescent="0.35">
      <c r="A19" t="s">
        <v>206</v>
      </c>
      <c r="B19">
        <f>($B$2)*(Inputs!B120/100)*(44/28)*298</f>
        <v>6005353.9175771428</v>
      </c>
      <c r="G19" t="s">
        <v>206</v>
      </c>
      <c r="H19" s="136">
        <f>($H$2)*(Inputs!B120/100)*(44/28)*298</f>
        <v>4804283.1340617156</v>
      </c>
      <c r="L19" s="20" t="s">
        <v>70</v>
      </c>
      <c r="M19" t="str">
        <f>IF(Inputs!C118=1,1,"")</f>
        <v/>
      </c>
      <c r="N19">
        <v>4.05</v>
      </c>
      <c r="O19" s="21"/>
    </row>
    <row r="20" spans="1:18" x14ac:dyDescent="0.35">
      <c r="A20" t="s">
        <v>207</v>
      </c>
      <c r="B20">
        <f>($B$2)*(Inputs!B121/100)*(44/28)*298</f>
        <v>3453078.5026068571</v>
      </c>
      <c r="G20" t="s">
        <v>207</v>
      </c>
      <c r="H20" s="136">
        <f>($H$2)*(Inputs!B121/100)*(44/28)*298</f>
        <v>2762462.8020854858</v>
      </c>
      <c r="L20" s="20" t="s">
        <v>71</v>
      </c>
      <c r="M20" t="str">
        <f>IF(Inputs!C119=1,1,"")</f>
        <v/>
      </c>
      <c r="N20">
        <v>3</v>
      </c>
      <c r="O20" s="21"/>
    </row>
    <row r="21" spans="1:18" x14ac:dyDescent="0.35">
      <c r="A21" t="s">
        <v>518</v>
      </c>
      <c r="B21">
        <f>($B$2)*(Inputs!B122/100)*(44/28)*298</f>
        <v>0</v>
      </c>
      <c r="G21" t="s">
        <v>518</v>
      </c>
      <c r="H21" s="136">
        <f>($H$2)*(Inputs!B122/100)*(44/28)*298</f>
        <v>0</v>
      </c>
      <c r="L21" s="20" t="s">
        <v>72</v>
      </c>
      <c r="M21" t="str">
        <f>IF(Inputs!C120=1,1,"")</f>
        <v/>
      </c>
      <c r="N21">
        <v>4</v>
      </c>
      <c r="O21" s="21"/>
    </row>
    <row r="22" spans="1:18" x14ac:dyDescent="0.35">
      <c r="L22" s="20" t="s">
        <v>73</v>
      </c>
      <c r="M22" t="str">
        <f>IF(Inputs!C121=1,1,"")</f>
        <v/>
      </c>
      <c r="N22">
        <v>2.2999999999999998</v>
      </c>
      <c r="O22" s="21"/>
    </row>
    <row r="23" spans="1:18" ht="15" thickBot="1" x14ac:dyDescent="0.4">
      <c r="A23" s="2" t="s">
        <v>208</v>
      </c>
      <c r="G23" s="2" t="s">
        <v>516</v>
      </c>
      <c r="L23" s="22" t="s">
        <v>471</v>
      </c>
      <c r="M23" s="23" t="str">
        <f>IF(Inputs!C122=1,1,"")</f>
        <v/>
      </c>
      <c r="N23" s="23">
        <v>0</v>
      </c>
      <c r="O23" s="25"/>
    </row>
    <row r="24" spans="1:18" ht="15" thickBot="1" x14ac:dyDescent="0.4">
      <c r="A24" t="s">
        <v>196</v>
      </c>
      <c r="B24">
        <f t="shared" ref="B24:B38" si="0">B7+$B$5</f>
        <v>3816001.2027508575</v>
      </c>
      <c r="G24" t="s">
        <v>196</v>
      </c>
      <c r="H24" s="136">
        <f>H7+$H$5</f>
        <v>3052800.9622006863</v>
      </c>
    </row>
    <row r="25" spans="1:18" x14ac:dyDescent="0.35">
      <c r="A25" t="s">
        <v>209</v>
      </c>
      <c r="B25">
        <f t="shared" si="0"/>
        <v>4041201.9746600008</v>
      </c>
      <c r="G25" t="s">
        <v>209</v>
      </c>
      <c r="H25" s="136">
        <f t="shared" ref="H25:H38" si="1">H8+$H$5</f>
        <v>3232961.5797280008</v>
      </c>
      <c r="L25" s="150" t="s">
        <v>537</v>
      </c>
      <c r="M25" s="18"/>
      <c r="N25" s="18"/>
      <c r="O25" s="18"/>
      <c r="P25" s="19"/>
    </row>
    <row r="26" spans="1:18" x14ac:dyDescent="0.35">
      <c r="A26" t="s">
        <v>210</v>
      </c>
      <c r="B26">
        <f t="shared" si="0"/>
        <v>3365599.6589325713</v>
      </c>
      <c r="G26" t="s">
        <v>210</v>
      </c>
      <c r="H26" s="136">
        <f t="shared" si="1"/>
        <v>2692479.7271460574</v>
      </c>
      <c r="L26" s="20"/>
      <c r="M26" t="s">
        <v>363</v>
      </c>
      <c r="N26" t="s">
        <v>364</v>
      </c>
      <c r="O26" t="s">
        <v>367</v>
      </c>
      <c r="P26" s="21" t="s">
        <v>368</v>
      </c>
    </row>
    <row r="27" spans="1:18" x14ac:dyDescent="0.35">
      <c r="A27" t="s">
        <v>199</v>
      </c>
      <c r="B27">
        <f t="shared" si="0"/>
        <v>2659970.5736172572</v>
      </c>
      <c r="G27" t="s">
        <v>199</v>
      </c>
      <c r="H27" s="136">
        <f t="shared" si="1"/>
        <v>2127976.4588938057</v>
      </c>
      <c r="L27" s="20" t="s">
        <v>355</v>
      </c>
      <c r="M27">
        <v>180</v>
      </c>
      <c r="N27">
        <v>60</v>
      </c>
      <c r="O27" s="1">
        <f>Inputs!B11*$M$42</f>
        <v>247200.6088589424</v>
      </c>
      <c r="P27" s="151">
        <f>(M27*O27)-(N27*O27)</f>
        <v>29664073.063073091</v>
      </c>
      <c r="R27" s="1"/>
    </row>
    <row r="28" spans="1:18" x14ac:dyDescent="0.35">
      <c r="A28" t="s">
        <v>200</v>
      </c>
      <c r="B28">
        <f t="shared" si="0"/>
        <v>2795091.0367627433</v>
      </c>
      <c r="G28" t="s">
        <v>200</v>
      </c>
      <c r="H28" s="136">
        <f t="shared" si="1"/>
        <v>2236072.8294101944</v>
      </c>
      <c r="L28" s="20" t="s">
        <v>439</v>
      </c>
      <c r="M28">
        <v>180</v>
      </c>
      <c r="N28">
        <v>0</v>
      </c>
      <c r="O28" s="1">
        <f>(Inputs!B9+(GrassfedTransition!B48*2.47))*M42</f>
        <v>126769.54300458584</v>
      </c>
      <c r="P28" s="151">
        <f t="shared" ref="P28:P36" si="2">(M28*O28)-(N28*O28)</f>
        <v>22818517.740825452</v>
      </c>
    </row>
    <row r="29" spans="1:18" x14ac:dyDescent="0.35">
      <c r="A29" t="s">
        <v>211</v>
      </c>
      <c r="B29">
        <f t="shared" si="0"/>
        <v>2642134.6370408777</v>
      </c>
      <c r="G29" t="s">
        <v>211</v>
      </c>
      <c r="H29" s="136">
        <f t="shared" si="1"/>
        <v>2073082.697121664</v>
      </c>
      <c r="L29" s="20" t="s">
        <v>356</v>
      </c>
      <c r="M29">
        <v>180</v>
      </c>
      <c r="N29">
        <v>0</v>
      </c>
      <c r="O29">
        <f>Inputs!B15*M42</f>
        <v>165656.10032124256</v>
      </c>
      <c r="P29" s="151">
        <f t="shared" si="2"/>
        <v>29818098.057823662</v>
      </c>
    </row>
    <row r="30" spans="1:18" x14ac:dyDescent="0.35">
      <c r="A30" t="s">
        <v>212</v>
      </c>
      <c r="B30">
        <f t="shared" si="0"/>
        <v>2407890.175562093</v>
      </c>
      <c r="G30" t="s">
        <v>212</v>
      </c>
      <c r="H30" s="136">
        <f t="shared" si="1"/>
        <v>1872000.6263974849</v>
      </c>
      <c r="L30" s="20" t="s">
        <v>357</v>
      </c>
      <c r="M30">
        <v>180</v>
      </c>
      <c r="N30">
        <v>0</v>
      </c>
      <c r="O30" s="1">
        <f>Inputs!B14*M42</f>
        <v>277625.29918004299</v>
      </c>
      <c r="P30" s="151">
        <f t="shared" si="2"/>
        <v>49972553.852407739</v>
      </c>
    </row>
    <row r="31" spans="1:18" x14ac:dyDescent="0.35">
      <c r="A31" t="s">
        <v>248</v>
      </c>
      <c r="B31">
        <f t="shared" si="0"/>
        <v>3215465.8109931434</v>
      </c>
      <c r="G31" t="s">
        <v>248</v>
      </c>
      <c r="H31" s="136">
        <f t="shared" si="1"/>
        <v>2572372.6487945146</v>
      </c>
      <c r="L31" s="20" t="s">
        <v>358</v>
      </c>
      <c r="M31">
        <v>180</v>
      </c>
      <c r="N31">
        <v>50</v>
      </c>
      <c r="O31" s="1">
        <f>Inputs!B13*M42</f>
        <v>493397.50447139458</v>
      </c>
      <c r="P31" s="151">
        <f t="shared" si="2"/>
        <v>64141675.581281297</v>
      </c>
    </row>
    <row r="32" spans="1:18" x14ac:dyDescent="0.35">
      <c r="A32" t="s">
        <v>249</v>
      </c>
      <c r="B32">
        <f t="shared" si="0"/>
        <v>4206349.2073933715</v>
      </c>
      <c r="G32" t="s">
        <v>249</v>
      </c>
      <c r="H32" s="136">
        <f t="shared" si="1"/>
        <v>3365079.3659146978</v>
      </c>
      <c r="L32" s="20" t="s">
        <v>359</v>
      </c>
      <c r="M32">
        <v>5</v>
      </c>
      <c r="N32">
        <v>60</v>
      </c>
      <c r="O32">
        <f>Inputs!B11*M43</f>
        <v>142799.3911410576</v>
      </c>
      <c r="P32" s="151">
        <f t="shared" si="2"/>
        <v>-7853966.5127581684</v>
      </c>
    </row>
    <row r="33" spans="1:17" x14ac:dyDescent="0.35">
      <c r="A33" t="s">
        <v>203</v>
      </c>
      <c r="B33">
        <f t="shared" si="0"/>
        <v>9671221.2723885719</v>
      </c>
      <c r="G33" t="s">
        <v>203</v>
      </c>
      <c r="H33" s="136">
        <f t="shared" si="1"/>
        <v>7736977.0179108577</v>
      </c>
      <c r="L33" s="20" t="s">
        <v>440</v>
      </c>
      <c r="M33">
        <v>5</v>
      </c>
      <c r="N33">
        <v>0</v>
      </c>
      <c r="O33" s="67">
        <f>(Inputs!B9+(GrassfedTransition!B48*2.47))*M43</f>
        <v>73230.456995414133</v>
      </c>
      <c r="P33" s="151">
        <f t="shared" si="2"/>
        <v>366152.28497707064</v>
      </c>
    </row>
    <row r="34" spans="1:17" x14ac:dyDescent="0.35">
      <c r="A34" t="s">
        <v>204</v>
      </c>
      <c r="B34">
        <f t="shared" si="0"/>
        <v>7494280.4772668574</v>
      </c>
      <c r="G34" t="s">
        <v>204</v>
      </c>
      <c r="H34" s="136">
        <f t="shared" si="1"/>
        <v>5995424.3818134861</v>
      </c>
      <c r="L34" s="20" t="s">
        <v>360</v>
      </c>
      <c r="M34">
        <v>5</v>
      </c>
      <c r="N34">
        <v>0</v>
      </c>
      <c r="O34">
        <f>Inputs!B15*M43</f>
        <v>95693.899678757443</v>
      </c>
      <c r="P34" s="151">
        <f t="shared" si="2"/>
        <v>478469.49839378719</v>
      </c>
    </row>
    <row r="35" spans="1:17" x14ac:dyDescent="0.35">
      <c r="A35" t="s">
        <v>205</v>
      </c>
      <c r="B35">
        <f t="shared" si="0"/>
        <v>5917875.0739028566</v>
      </c>
      <c r="G35" t="s">
        <v>205</v>
      </c>
      <c r="H35" s="136">
        <f t="shared" si="1"/>
        <v>4734300.0591222858</v>
      </c>
      <c r="L35" s="20" t="s">
        <v>361</v>
      </c>
      <c r="M35">
        <v>5</v>
      </c>
      <c r="N35">
        <v>0</v>
      </c>
      <c r="O35">
        <f>Inputs!B14*M43</f>
        <v>160374.70081995698</v>
      </c>
      <c r="P35" s="151">
        <f t="shared" si="2"/>
        <v>801873.50409978488</v>
      </c>
    </row>
    <row r="36" spans="1:17" x14ac:dyDescent="0.35">
      <c r="A36" t="s">
        <v>213</v>
      </c>
      <c r="B36">
        <f t="shared" si="0"/>
        <v>7419213.5532971434</v>
      </c>
      <c r="G36" t="s">
        <v>213</v>
      </c>
      <c r="H36" s="136">
        <f t="shared" si="1"/>
        <v>5935370.8426377159</v>
      </c>
      <c r="L36" s="20" t="s">
        <v>362</v>
      </c>
      <c r="M36">
        <v>5</v>
      </c>
      <c r="N36">
        <v>50</v>
      </c>
      <c r="O36">
        <f>Inputs!B13*M43</f>
        <v>285018.97124871763</v>
      </c>
      <c r="P36" s="151">
        <f t="shared" si="2"/>
        <v>-12825853.706192294</v>
      </c>
    </row>
    <row r="37" spans="1:17" x14ac:dyDescent="0.35">
      <c r="A37" t="s">
        <v>207</v>
      </c>
      <c r="B37">
        <f t="shared" si="0"/>
        <v>4866938.1383268572</v>
      </c>
      <c r="G37" t="s">
        <v>207</v>
      </c>
      <c r="H37" s="136">
        <f t="shared" si="1"/>
        <v>3893550.5106614856</v>
      </c>
      <c r="L37" s="20"/>
      <c r="P37" s="151">
        <f>SUM(P27:P36)</f>
        <v>177381593.36393142</v>
      </c>
      <c r="Q37" t="s">
        <v>369</v>
      </c>
    </row>
    <row r="38" spans="1:17" ht="15" thickBot="1" x14ac:dyDescent="0.4">
      <c r="A38" t="s">
        <v>518</v>
      </c>
      <c r="B38">
        <f t="shared" si="0"/>
        <v>1413859.6357200001</v>
      </c>
      <c r="G38" t="s">
        <v>518</v>
      </c>
      <c r="H38" s="136">
        <f t="shared" si="1"/>
        <v>1131087.7085760001</v>
      </c>
      <c r="L38" s="22"/>
      <c r="M38" s="23"/>
      <c r="N38" s="23"/>
      <c r="O38" s="23"/>
      <c r="P38" s="152">
        <f>(P37/2.2)/1000</f>
        <v>80627.996983605175</v>
      </c>
      <c r="Q38" t="s">
        <v>370</v>
      </c>
    </row>
    <row r="39" spans="1:17" ht="15" thickBot="1" x14ac:dyDescent="0.4"/>
    <row r="40" spans="1:17" ht="15" thickBot="1" x14ac:dyDescent="0.4">
      <c r="L40" s="150" t="s">
        <v>365</v>
      </c>
      <c r="M40" s="18">
        <v>1842000</v>
      </c>
      <c r="N40" s="19" t="s">
        <v>538</v>
      </c>
    </row>
    <row r="41" spans="1:17" x14ac:dyDescent="0.35">
      <c r="A41" s="27" t="s">
        <v>530</v>
      </c>
      <c r="B41" s="19"/>
      <c r="L41" s="20" t="s">
        <v>366</v>
      </c>
      <c r="M41">
        <v>1400000</v>
      </c>
      <c r="N41" s="21" t="s">
        <v>539</v>
      </c>
    </row>
    <row r="42" spans="1:17" x14ac:dyDescent="0.35">
      <c r="A42" s="139" t="s">
        <v>528</v>
      </c>
      <c r="B42" s="140">
        <f>(VLOOKUP(1,M2:N6,2,FALSE))</f>
        <v>4.41</v>
      </c>
      <c r="L42" s="20" t="s">
        <v>540</v>
      </c>
      <c r="M42">
        <f>(M40/M41)/((M40/M41)+(1/(M40/M41)))</f>
        <v>0.63384771502292925</v>
      </c>
      <c r="N42" s="21"/>
      <c r="O42" s="1"/>
    </row>
    <row r="43" spans="1:17" ht="15" thickBot="1" x14ac:dyDescent="0.4">
      <c r="A43" s="141" t="s">
        <v>529</v>
      </c>
      <c r="B43" s="142">
        <f>(VLOOKUP(1,M9:N23,2,FALSE))</f>
        <v>1.2</v>
      </c>
      <c r="L43" s="22" t="s">
        <v>541</v>
      </c>
      <c r="M43" s="23">
        <f>1-M42</f>
        <v>0.36615228497707075</v>
      </c>
      <c r="N43" s="25"/>
    </row>
    <row r="44" spans="1:17" x14ac:dyDescent="0.35">
      <c r="A44" s="141" t="s">
        <v>531</v>
      </c>
      <c r="B44" s="143">
        <f>(Inputs!B18-P38-GrassfedTransition!B52)*(Inputs!$B$19/100)</f>
        <v>47995.019003278969</v>
      </c>
    </row>
    <row r="45" spans="1:17" x14ac:dyDescent="0.35">
      <c r="A45" s="141" t="s">
        <v>532</v>
      </c>
      <c r="B45" s="143">
        <f>P38</f>
        <v>80627.996983605175</v>
      </c>
    </row>
    <row r="46" spans="1:17" x14ac:dyDescent="0.35">
      <c r="A46" s="144" t="s">
        <v>515</v>
      </c>
      <c r="B46" s="145">
        <f>((Inputs!B18-P38-GrassfedTransition!B52)*1000)/(Inputs!B17*0.404686)</f>
        <v>67.694248073261377</v>
      </c>
    </row>
    <row r="47" spans="1:17" x14ac:dyDescent="0.35">
      <c r="A47" s="20"/>
      <c r="B47" s="21"/>
    </row>
    <row r="48" spans="1:17" x14ac:dyDescent="0.35">
      <c r="A48" s="146" t="s">
        <v>372</v>
      </c>
      <c r="B48" s="147">
        <f>B42*B44</f>
        <v>211658.03380446025</v>
      </c>
    </row>
    <row r="49" spans="1:2" x14ac:dyDescent="0.35">
      <c r="A49" s="99" t="s">
        <v>371</v>
      </c>
      <c r="B49" s="100">
        <f>B42*B45</f>
        <v>355569.46669769881</v>
      </c>
    </row>
    <row r="50" spans="1:2" x14ac:dyDescent="0.35">
      <c r="A50" s="148" t="s">
        <v>373</v>
      </c>
      <c r="B50" s="149">
        <f>SUM(B48:B49)</f>
        <v>567227.50050215912</v>
      </c>
    </row>
    <row r="51" spans="1:2" x14ac:dyDescent="0.35">
      <c r="A51" s="20"/>
      <c r="B51" s="21"/>
    </row>
    <row r="52" spans="1:2" x14ac:dyDescent="0.35">
      <c r="A52" s="146" t="s">
        <v>533</v>
      </c>
      <c r="B52" s="147">
        <f>($B$44)*(B43/100)*(44/28)*298</f>
        <v>269704.58107328304</v>
      </c>
    </row>
    <row r="53" spans="1:2" x14ac:dyDescent="0.35">
      <c r="A53" s="99" t="s">
        <v>374</v>
      </c>
      <c r="B53" s="100">
        <f>($B$45)*(B43/100)*(44/28)*298</f>
        <v>453083.26990672754</v>
      </c>
    </row>
    <row r="54" spans="1:2" x14ac:dyDescent="0.35">
      <c r="A54" s="148" t="s">
        <v>375</v>
      </c>
      <c r="B54" s="149">
        <f>SUM(B52:B53)</f>
        <v>722787.85098001058</v>
      </c>
    </row>
    <row r="55" spans="1:2" x14ac:dyDescent="0.35">
      <c r="A55" s="20"/>
      <c r="B55" s="21"/>
    </row>
    <row r="56" spans="1:2" x14ac:dyDescent="0.35">
      <c r="A56" s="146" t="s">
        <v>534</v>
      </c>
      <c r="B56" s="147">
        <f>B52+B48</f>
        <v>481362.6148777433</v>
      </c>
    </row>
    <row r="57" spans="1:2" x14ac:dyDescent="0.35">
      <c r="A57" s="99" t="s">
        <v>535</v>
      </c>
      <c r="B57" s="100">
        <f>B53+B49</f>
        <v>808652.73660442629</v>
      </c>
    </row>
    <row r="58" spans="1:2" ht="15" thickBot="1" x14ac:dyDescent="0.4">
      <c r="A58" s="101" t="s">
        <v>536</v>
      </c>
      <c r="B58" s="102">
        <f>SUM(B56:B57)</f>
        <v>1290015.3514821697</v>
      </c>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A336A-468C-4EED-A1AA-CCF08D4DD5A1}">
  <dimension ref="A1:J25"/>
  <sheetViews>
    <sheetView workbookViewId="0">
      <selection activeCell="D25" sqref="D25"/>
    </sheetView>
  </sheetViews>
  <sheetFormatPr defaultRowHeight="14.5" x14ac:dyDescent="0.35"/>
  <cols>
    <col min="1" max="1" width="12.36328125" bestFit="1" customWidth="1"/>
    <col min="2" max="2" width="19.36328125" customWidth="1"/>
    <col min="3" max="3" width="22.54296875" customWidth="1"/>
    <col min="4" max="4" width="25.26953125" customWidth="1"/>
    <col min="5" max="5" width="23.7265625" customWidth="1"/>
    <col min="6" max="6" width="25.6328125" customWidth="1"/>
    <col min="7" max="7" width="9.453125" customWidth="1"/>
    <col min="8" max="8" width="17.54296875" bestFit="1" customWidth="1"/>
    <col min="9" max="9" width="10.6328125" customWidth="1"/>
  </cols>
  <sheetData>
    <row r="1" spans="1:10" x14ac:dyDescent="0.35">
      <c r="A1" s="2" t="s">
        <v>487</v>
      </c>
      <c r="B1" s="2"/>
      <c r="C1" s="2"/>
    </row>
    <row r="2" spans="1:10" x14ac:dyDescent="0.35">
      <c r="A2" s="2"/>
      <c r="B2" s="2"/>
      <c r="C2" s="2"/>
    </row>
    <row r="3" spans="1:10" x14ac:dyDescent="0.35">
      <c r="A3" s="2" t="s">
        <v>543</v>
      </c>
      <c r="B3" s="2"/>
      <c r="C3" s="2"/>
    </row>
    <row r="4" spans="1:10" x14ac:dyDescent="0.35">
      <c r="B4" t="s">
        <v>381</v>
      </c>
      <c r="C4" t="s">
        <v>382</v>
      </c>
      <c r="D4" t="s">
        <v>383</v>
      </c>
      <c r="E4" t="s">
        <v>384</v>
      </c>
      <c r="F4" t="s">
        <v>385</v>
      </c>
      <c r="G4" t="s">
        <v>388</v>
      </c>
      <c r="H4" t="s">
        <v>390</v>
      </c>
      <c r="I4" t="s">
        <v>391</v>
      </c>
      <c r="J4" t="s">
        <v>392</v>
      </c>
    </row>
    <row r="5" spans="1:10" x14ac:dyDescent="0.35">
      <c r="A5" t="s">
        <v>376</v>
      </c>
      <c r="B5">
        <v>2.5401146999999999E-2</v>
      </c>
      <c r="C5">
        <v>1</v>
      </c>
      <c r="D5">
        <v>0.91</v>
      </c>
      <c r="E5">
        <v>0.9</v>
      </c>
      <c r="F5">
        <v>5.7999999999999996E-3</v>
      </c>
      <c r="H5">
        <v>0.01</v>
      </c>
      <c r="I5">
        <v>1.571429</v>
      </c>
      <c r="J5">
        <v>298</v>
      </c>
    </row>
    <row r="6" spans="1:10" x14ac:dyDescent="0.35">
      <c r="A6" t="s">
        <v>380</v>
      </c>
      <c r="B6">
        <v>2.7215692E-2</v>
      </c>
      <c r="C6">
        <v>2.1</v>
      </c>
      <c r="D6">
        <v>0.87</v>
      </c>
      <c r="E6">
        <v>0.9</v>
      </c>
      <c r="F6">
        <v>2.3E-2</v>
      </c>
      <c r="G6">
        <v>0.03</v>
      </c>
    </row>
    <row r="8" spans="1:10" x14ac:dyDescent="0.35">
      <c r="A8" s="2" t="s">
        <v>544</v>
      </c>
      <c r="B8" s="2"/>
      <c r="C8" s="2"/>
    </row>
    <row r="9" spans="1:10" x14ac:dyDescent="0.35">
      <c r="B9" s="2" t="s">
        <v>393</v>
      </c>
      <c r="C9" s="2" t="s">
        <v>394</v>
      </c>
    </row>
    <row r="10" spans="1:10" x14ac:dyDescent="0.35">
      <c r="A10" t="s">
        <v>395</v>
      </c>
      <c r="B10" s="1">
        <f>SUM('N Management Calcs'!O27:O31)</f>
        <v>1310649.0558362082</v>
      </c>
      <c r="C10">
        <v>175</v>
      </c>
      <c r="G10" s="1"/>
    </row>
    <row r="11" spans="1:10" x14ac:dyDescent="0.35">
      <c r="A11" t="s">
        <v>379</v>
      </c>
      <c r="B11" s="1">
        <f>SUM('N Management Calcs'!O32:O36)</f>
        <v>757117.41988390381</v>
      </c>
      <c r="C11">
        <v>48</v>
      </c>
    </row>
    <row r="12" spans="1:10" x14ac:dyDescent="0.35">
      <c r="B12" s="1"/>
    </row>
    <row r="13" spans="1:10" x14ac:dyDescent="0.35">
      <c r="A13" s="2" t="s">
        <v>545</v>
      </c>
    </row>
    <row r="14" spans="1:10" x14ac:dyDescent="0.35">
      <c r="B14" t="s">
        <v>377</v>
      </c>
      <c r="C14" t="s">
        <v>378</v>
      </c>
      <c r="D14" t="s">
        <v>387</v>
      </c>
      <c r="E14" t="s">
        <v>386</v>
      </c>
    </row>
    <row r="15" spans="1:10" x14ac:dyDescent="0.35">
      <c r="A15" t="s">
        <v>376</v>
      </c>
      <c r="B15" s="61">
        <f>(B10*C10)/1000</f>
        <v>229363.58477133643</v>
      </c>
      <c r="C15" s="1">
        <f>B15*1000*B5</f>
        <v>5826098.133223678</v>
      </c>
      <c r="D15">
        <f>(C15*1000)*C5*D5*E5*F5</f>
        <v>27675131.352439113</v>
      </c>
    </row>
    <row r="16" spans="1:10" x14ac:dyDescent="0.35">
      <c r="A16" t="s">
        <v>379</v>
      </c>
      <c r="B16" s="61">
        <f>(B11*C11)/1000</f>
        <v>36341.636154427382</v>
      </c>
      <c r="C16" s="1">
        <f>B16*1000*B6</f>
        <v>989062.77635495993</v>
      </c>
      <c r="D16">
        <f>(C16*1000)*C6*D6*E6*F6</f>
        <v>37405266.232690595</v>
      </c>
      <c r="E16">
        <f>(C16*1000)*(1+C6)*D6*G6</f>
        <v>80025069.234879807</v>
      </c>
    </row>
    <row r="17" spans="1:3" ht="15" thickBot="1" x14ac:dyDescent="0.4"/>
    <row r="18" spans="1:3" x14ac:dyDescent="0.35">
      <c r="B18" t="s">
        <v>396</v>
      </c>
      <c r="C18" s="153" t="s">
        <v>397</v>
      </c>
    </row>
    <row r="19" spans="1:3" ht="14" customHeight="1" x14ac:dyDescent="0.35">
      <c r="A19" t="s">
        <v>546</v>
      </c>
      <c r="B19">
        <f>SUM(D15:D16)/1000*H5*I5</f>
        <v>1022.6922409680279</v>
      </c>
      <c r="C19" s="154">
        <f>B19*J5*0.000001</f>
        <v>0.30476228780847231</v>
      </c>
    </row>
    <row r="20" spans="1:3" ht="15" thickBot="1" x14ac:dyDescent="0.4">
      <c r="A20" t="s">
        <v>547</v>
      </c>
      <c r="B20">
        <f>E16/1000*H5*I5</f>
        <v>1257.5371452269794</v>
      </c>
      <c r="C20" s="155">
        <f>B20*J5*0.000001</f>
        <v>0.37474606927763982</v>
      </c>
    </row>
    <row r="25" spans="1:3" x14ac:dyDescent="0.35">
      <c r="B25" s="3"/>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2E002-7D78-4F1E-A90F-492DFD8B2DE2}">
  <dimension ref="A1:AV68"/>
  <sheetViews>
    <sheetView workbookViewId="0">
      <selection activeCell="D26" sqref="D26"/>
    </sheetView>
  </sheetViews>
  <sheetFormatPr defaultRowHeight="14.5" x14ac:dyDescent="0.35"/>
  <cols>
    <col min="1" max="1" width="23.7265625" customWidth="1"/>
    <col min="7" max="7" width="12.7265625" customWidth="1"/>
    <col min="9" max="9" width="8.90625" customWidth="1"/>
    <col min="10" max="10" width="14.453125" customWidth="1"/>
    <col min="11" max="11" width="6.6328125" customWidth="1"/>
    <col min="22" max="22" width="10.81640625" bestFit="1" customWidth="1"/>
    <col min="26" max="26" width="43" customWidth="1"/>
    <col min="27" max="27" width="12.36328125" bestFit="1" customWidth="1"/>
    <col min="30" max="30" width="9.81640625" bestFit="1" customWidth="1"/>
    <col min="32" max="33" width="8.7265625" customWidth="1"/>
    <col min="34" max="34" width="12.1796875" bestFit="1" customWidth="1"/>
    <col min="35" max="35" width="43" customWidth="1"/>
    <col min="36" max="36" width="12.36328125" bestFit="1" customWidth="1"/>
    <col min="37" max="37" width="16.1796875" customWidth="1"/>
    <col min="39" max="39" width="9.81640625" bestFit="1" customWidth="1"/>
    <col min="47" max="47" width="15.54296875" customWidth="1"/>
    <col min="48" max="48" width="15.36328125" customWidth="1"/>
    <col min="50" max="50" width="13.453125" bestFit="1" customWidth="1"/>
    <col min="51" max="51" width="13.453125" customWidth="1"/>
    <col min="54" max="56" width="10.81640625" bestFit="1" customWidth="1"/>
  </cols>
  <sheetData>
    <row r="1" spans="1:44" ht="15" thickBot="1" x14ac:dyDescent="0.4">
      <c r="Z1" s="2" t="s">
        <v>494</v>
      </c>
      <c r="AI1" s="2" t="s">
        <v>489</v>
      </c>
    </row>
    <row r="2" spans="1:44" ht="19" thickBot="1" x14ac:dyDescent="0.5">
      <c r="G2" s="115" t="s">
        <v>500</v>
      </c>
      <c r="H2" s="116"/>
      <c r="I2" s="117"/>
      <c r="J2" s="117"/>
      <c r="K2" s="118">
        <f>AE22-AN22</f>
        <v>1.3231858379923676</v>
      </c>
    </row>
    <row r="3" spans="1:44" ht="15" thickBot="1" x14ac:dyDescent="0.4">
      <c r="Z3" t="s">
        <v>263</v>
      </c>
      <c r="AI3" t="s">
        <v>263</v>
      </c>
    </row>
    <row r="4" spans="1:44" ht="22" x14ac:dyDescent="0.35">
      <c r="A4" s="2" t="s">
        <v>16</v>
      </c>
      <c r="B4" t="s">
        <v>265</v>
      </c>
      <c r="C4" t="s">
        <v>499</v>
      </c>
      <c r="Z4" s="89" t="s">
        <v>266</v>
      </c>
      <c r="AA4" s="90" t="s">
        <v>267</v>
      </c>
      <c r="AB4" s="90" t="s">
        <v>268</v>
      </c>
      <c r="AC4" s="90" t="s">
        <v>269</v>
      </c>
      <c r="AD4" s="90" t="s">
        <v>270</v>
      </c>
      <c r="AE4" s="90" t="s">
        <v>271</v>
      </c>
      <c r="AF4" s="91" t="s">
        <v>272</v>
      </c>
      <c r="AH4" s="106"/>
      <c r="AI4" s="89" t="s">
        <v>266</v>
      </c>
      <c r="AJ4" s="90" t="s">
        <v>267</v>
      </c>
      <c r="AK4" s="90" t="s">
        <v>268</v>
      </c>
      <c r="AL4" s="90" t="s">
        <v>269</v>
      </c>
      <c r="AM4" s="90" t="s">
        <v>270</v>
      </c>
      <c r="AN4" s="90" t="s">
        <v>271</v>
      </c>
      <c r="AO4" s="90" t="s">
        <v>272</v>
      </c>
      <c r="AP4" s="110" t="s">
        <v>297</v>
      </c>
      <c r="AQ4" s="111" t="s">
        <v>298</v>
      </c>
      <c r="AR4" s="96"/>
    </row>
    <row r="5" spans="1:44" ht="15" thickBot="1" x14ac:dyDescent="0.4">
      <c r="A5" s="20" t="s">
        <v>278</v>
      </c>
      <c r="B5">
        <v>5.9</v>
      </c>
      <c r="C5">
        <f>Inputs!C26</f>
        <v>21</v>
      </c>
      <c r="Z5" s="92" t="s">
        <v>279</v>
      </c>
      <c r="AA5" s="93">
        <v>0.27182396758461302</v>
      </c>
      <c r="AB5" s="93">
        <v>5.6476459894014001E-2</v>
      </c>
      <c r="AC5" s="93">
        <v>5.4213262011913399E-2</v>
      </c>
      <c r="AD5" s="93">
        <v>0.241846778206119</v>
      </c>
      <c r="AE5" s="93">
        <v>0.14884191159280899</v>
      </c>
      <c r="AF5" s="94">
        <v>0.226797620710531</v>
      </c>
      <c r="AG5" s="35"/>
      <c r="AI5" s="92" t="s">
        <v>495</v>
      </c>
      <c r="AJ5" s="107">
        <f>AM11</f>
        <v>0.11900000000000001</v>
      </c>
      <c r="AK5" s="107">
        <f>AM14</f>
        <v>3.2000000000000001E-2</v>
      </c>
      <c r="AL5" s="107">
        <f>AM12</f>
        <v>5.4000000000000006E-2</v>
      </c>
      <c r="AM5" s="107">
        <f>AM16</f>
        <v>0.24199999999999999</v>
      </c>
      <c r="AN5" s="107">
        <f>AM15</f>
        <v>0.14899999999999999</v>
      </c>
      <c r="AO5" s="107">
        <f>AM13</f>
        <v>0.188</v>
      </c>
      <c r="AP5" s="107">
        <f>AM10</f>
        <v>0.21</v>
      </c>
      <c r="AQ5" s="108">
        <f>AM17</f>
        <v>6.0000000000000001E-3</v>
      </c>
    </row>
    <row r="6" spans="1:44" x14ac:dyDescent="0.35">
      <c r="A6" s="20" t="s">
        <v>269</v>
      </c>
      <c r="B6">
        <v>5.4</v>
      </c>
      <c r="C6">
        <f>Inputs!C27</f>
        <v>5.4</v>
      </c>
      <c r="Z6" s="96"/>
      <c r="AA6" s="48"/>
      <c r="AB6" s="48"/>
      <c r="AC6" s="48"/>
      <c r="AD6" s="48"/>
      <c r="AE6" s="48"/>
      <c r="AF6" s="48"/>
      <c r="AI6" s="96"/>
      <c r="AJ6" s="109"/>
      <c r="AK6" s="109"/>
      <c r="AL6" s="109"/>
      <c r="AM6" s="109"/>
      <c r="AN6" s="109"/>
      <c r="AO6" s="109"/>
      <c r="AP6" s="109"/>
      <c r="AQ6" s="109"/>
    </row>
    <row r="7" spans="1:44" x14ac:dyDescent="0.35">
      <c r="A7" s="20" t="s">
        <v>271</v>
      </c>
      <c r="B7">
        <v>14.9</v>
      </c>
      <c r="C7">
        <f>Inputs!C28</f>
        <v>14.9</v>
      </c>
      <c r="Z7" s="96"/>
      <c r="AA7" s="48"/>
      <c r="AB7" s="48"/>
      <c r="AC7" s="48"/>
      <c r="AD7" s="48"/>
      <c r="AE7" s="48"/>
      <c r="AF7" s="48"/>
      <c r="AI7" s="96"/>
      <c r="AJ7" s="48"/>
      <c r="AK7" s="48"/>
      <c r="AL7" s="48"/>
      <c r="AM7" s="48"/>
      <c r="AN7" s="48"/>
      <c r="AO7" s="48"/>
      <c r="AP7" s="35"/>
    </row>
    <row r="8" spans="1:44" x14ac:dyDescent="0.35">
      <c r="A8" s="20" t="s">
        <v>270</v>
      </c>
      <c r="B8">
        <v>24.2</v>
      </c>
      <c r="C8">
        <f>Inputs!C29</f>
        <v>24.2</v>
      </c>
      <c r="Z8" t="s">
        <v>493</v>
      </c>
      <c r="AE8" s="48"/>
      <c r="AF8" s="48"/>
      <c r="AI8" t="s">
        <v>264</v>
      </c>
    </row>
    <row r="9" spans="1:44" x14ac:dyDescent="0.35">
      <c r="A9" s="20" t="s">
        <v>283</v>
      </c>
      <c r="B9">
        <v>0</v>
      </c>
      <c r="C9">
        <f>Inputs!C30</f>
        <v>0.6</v>
      </c>
      <c r="Z9" s="2" t="s">
        <v>16</v>
      </c>
      <c r="AA9" s="2" t="s">
        <v>273</v>
      </c>
      <c r="AB9" s="2" t="s">
        <v>274</v>
      </c>
      <c r="AC9" s="2" t="s">
        <v>275</v>
      </c>
      <c r="AD9" s="2" t="s">
        <v>276</v>
      </c>
      <c r="AE9" s="48"/>
      <c r="AF9" s="48"/>
      <c r="AI9" s="2" t="s">
        <v>16</v>
      </c>
      <c r="AJ9" s="2" t="s">
        <v>275</v>
      </c>
      <c r="AK9" s="2" t="s">
        <v>273</v>
      </c>
      <c r="AL9" s="2" t="s">
        <v>274</v>
      </c>
      <c r="AM9" s="2" t="s">
        <v>497</v>
      </c>
      <c r="AN9" s="2" t="s">
        <v>498</v>
      </c>
      <c r="AO9" s="2" t="s">
        <v>277</v>
      </c>
      <c r="AP9" s="2" t="s">
        <v>276</v>
      </c>
    </row>
    <row r="10" spans="1:44" x14ac:dyDescent="0.35">
      <c r="A10" s="20" t="s">
        <v>267</v>
      </c>
      <c r="B10">
        <v>23.7</v>
      </c>
      <c r="C10">
        <f>Inputs!C31</f>
        <v>11.9</v>
      </c>
      <c r="Z10" t="s">
        <v>278</v>
      </c>
      <c r="AA10">
        <f t="shared" ref="AA10:AA16" si="0">$AA$25*AB10</f>
        <v>218333158.85804856</v>
      </c>
      <c r="AB10">
        <v>5.9401978184868691E-2</v>
      </c>
      <c r="AC10">
        <v>2.9</v>
      </c>
      <c r="AD10">
        <f>AB10*AC10</f>
        <v>0.1722657367361192</v>
      </c>
      <c r="AE10" s="48"/>
      <c r="AF10" s="48"/>
      <c r="AI10" t="s">
        <v>278</v>
      </c>
      <c r="AJ10">
        <v>2.9</v>
      </c>
      <c r="AK10">
        <f t="shared" ref="AK10:AK17" si="1">$AA$25*AL10</f>
        <v>218333158.85804856</v>
      </c>
      <c r="AL10">
        <v>5.9401978184868691E-2</v>
      </c>
      <c r="AM10">
        <f>C5/100</f>
        <v>0.21</v>
      </c>
      <c r="AN10">
        <f>$AJ$25*AM10</f>
        <v>771859200</v>
      </c>
      <c r="AO10">
        <f>$AJ$25*AL10</f>
        <v>218333158.85804856</v>
      </c>
      <c r="AP10">
        <f>AM10*AJ10</f>
        <v>0.60899999999999999</v>
      </c>
    </row>
    <row r="11" spans="1:44" x14ac:dyDescent="0.35">
      <c r="A11" s="20" t="s">
        <v>272</v>
      </c>
      <c r="B11">
        <v>22.7</v>
      </c>
      <c r="C11">
        <f>Inputs!C32</f>
        <v>18.8</v>
      </c>
      <c r="Z11" s="49" t="s">
        <v>267</v>
      </c>
      <c r="AA11">
        <f t="shared" si="0"/>
        <v>869320853.06090152</v>
      </c>
      <c r="AB11" s="50">
        <v>0.23651642571959927</v>
      </c>
      <c r="AC11" s="50">
        <v>67.5</v>
      </c>
      <c r="AD11">
        <f t="shared" ref="AD11:AD16" si="2">AB11*AC11</f>
        <v>15.964858736072951</v>
      </c>
      <c r="AE11" s="48"/>
      <c r="AF11" s="48"/>
      <c r="AI11" s="49" t="s">
        <v>267</v>
      </c>
      <c r="AJ11" s="50">
        <v>67.5</v>
      </c>
      <c r="AK11" s="4">
        <f t="shared" si="1"/>
        <v>869320853.06090152</v>
      </c>
      <c r="AL11" s="50">
        <v>0.23651642571959927</v>
      </c>
      <c r="AM11">
        <f>C10/100</f>
        <v>0.11900000000000001</v>
      </c>
      <c r="AN11">
        <f t="shared" ref="AN11:AN17" si="3">$AJ$25*AM11</f>
        <v>437386880.00000006</v>
      </c>
      <c r="AO11">
        <f t="shared" ref="AO11:AO17" si="4">$AJ$25*AL11</f>
        <v>869320853.06090152</v>
      </c>
      <c r="AP11">
        <f t="shared" ref="AP11:AP17" si="5">AM11*AJ11</f>
        <v>8.0325000000000006</v>
      </c>
    </row>
    <row r="12" spans="1:44" ht="15" thickBot="1" x14ac:dyDescent="0.4">
      <c r="A12" s="22" t="s">
        <v>284</v>
      </c>
      <c r="B12" s="23">
        <v>3.2</v>
      </c>
      <c r="C12" s="23">
        <f>Inputs!C33</f>
        <v>3.2</v>
      </c>
      <c r="Z12" t="s">
        <v>269</v>
      </c>
      <c r="AA12">
        <f t="shared" si="0"/>
        <v>199261928.79002801</v>
      </c>
      <c r="AB12">
        <v>5.421326201191342E-2</v>
      </c>
      <c r="AC12">
        <v>0.1</v>
      </c>
      <c r="AD12">
        <f t="shared" si="2"/>
        <v>5.421326201191342E-3</v>
      </c>
      <c r="AE12" s="48"/>
      <c r="AF12" s="48"/>
      <c r="AI12" t="s">
        <v>269</v>
      </c>
      <c r="AJ12">
        <v>0.1</v>
      </c>
      <c r="AK12">
        <f t="shared" si="1"/>
        <v>199261928.79002801</v>
      </c>
      <c r="AL12">
        <v>5.421326201191342E-2</v>
      </c>
      <c r="AM12">
        <f>C6/100</f>
        <v>5.4000000000000006E-2</v>
      </c>
      <c r="AN12">
        <f t="shared" si="3"/>
        <v>198478080.00000003</v>
      </c>
      <c r="AO12">
        <f t="shared" si="4"/>
        <v>199261928.79002801</v>
      </c>
      <c r="AP12">
        <f t="shared" si="5"/>
        <v>5.4000000000000012E-3</v>
      </c>
    </row>
    <row r="13" spans="1:44" x14ac:dyDescent="0.35">
      <c r="Z13" t="s">
        <v>272</v>
      </c>
      <c r="AA13">
        <f t="shared" si="0"/>
        <v>833599190.87397051</v>
      </c>
      <c r="AB13">
        <v>0.22679762071053089</v>
      </c>
      <c r="AC13">
        <v>24.1</v>
      </c>
      <c r="AD13">
        <f t="shared" si="2"/>
        <v>5.4658226591237948</v>
      </c>
      <c r="AE13" s="48"/>
      <c r="AF13" s="48"/>
      <c r="AI13" t="s">
        <v>272</v>
      </c>
      <c r="AJ13">
        <v>24.1</v>
      </c>
      <c r="AK13">
        <f t="shared" si="1"/>
        <v>833599190.87397051</v>
      </c>
      <c r="AL13">
        <v>0.22679762071053089</v>
      </c>
      <c r="AM13">
        <f>C11/100</f>
        <v>0.188</v>
      </c>
      <c r="AN13">
        <f t="shared" si="3"/>
        <v>690997760</v>
      </c>
      <c r="AO13">
        <f t="shared" si="4"/>
        <v>833599190.87397051</v>
      </c>
      <c r="AP13">
        <f t="shared" si="5"/>
        <v>4.5308000000000002</v>
      </c>
    </row>
    <row r="14" spans="1:44" x14ac:dyDescent="0.35">
      <c r="A14" t="s">
        <v>488</v>
      </c>
      <c r="B14" s="1">
        <f>Inputs!B24</f>
        <v>1280000</v>
      </c>
      <c r="C14" s="1">
        <f>Inputs!C24</f>
        <v>1280000</v>
      </c>
      <c r="Z14" t="s">
        <v>284</v>
      </c>
      <c r="AA14">
        <f t="shared" si="0"/>
        <v>119020775.28729473</v>
      </c>
      <c r="AB14">
        <v>3.2382023574159501E-2</v>
      </c>
      <c r="AC14">
        <v>24.1</v>
      </c>
      <c r="AD14">
        <f t="shared" si="2"/>
        <v>0.78040676813724397</v>
      </c>
      <c r="AE14" s="48"/>
      <c r="AF14" s="48"/>
      <c r="AI14" t="s">
        <v>284</v>
      </c>
      <c r="AJ14">
        <v>24.1</v>
      </c>
      <c r="AK14">
        <f t="shared" si="1"/>
        <v>119020775.28729473</v>
      </c>
      <c r="AL14">
        <v>3.2382023574159501E-2</v>
      </c>
      <c r="AM14">
        <f>C12/100</f>
        <v>3.2000000000000001E-2</v>
      </c>
      <c r="AN14">
        <f t="shared" si="3"/>
        <v>117616640</v>
      </c>
      <c r="AO14">
        <f t="shared" si="4"/>
        <v>119020775.28729473</v>
      </c>
      <c r="AP14">
        <f t="shared" si="5"/>
        <v>0.77120000000000011</v>
      </c>
    </row>
    <row r="15" spans="1:44" x14ac:dyDescent="0.35">
      <c r="Z15" t="s">
        <v>271</v>
      </c>
      <c r="AA15">
        <f t="shared" si="0"/>
        <v>547071422.8976022</v>
      </c>
      <c r="AB15">
        <v>0.14884191159280924</v>
      </c>
      <c r="AC15">
        <v>1</v>
      </c>
      <c r="AD15">
        <f t="shared" si="2"/>
        <v>0.14884191159280924</v>
      </c>
      <c r="AE15" s="48"/>
      <c r="AF15" s="48"/>
      <c r="AI15" t="s">
        <v>271</v>
      </c>
      <c r="AJ15">
        <v>1</v>
      </c>
      <c r="AK15">
        <f t="shared" si="1"/>
        <v>547071422.8976022</v>
      </c>
      <c r="AL15">
        <v>0.14884191159280924</v>
      </c>
      <c r="AM15">
        <f>C7/100</f>
        <v>0.14899999999999999</v>
      </c>
      <c r="AN15">
        <f t="shared" si="3"/>
        <v>547652480</v>
      </c>
      <c r="AO15">
        <f t="shared" si="4"/>
        <v>547071422.8976022</v>
      </c>
      <c r="AP15">
        <f t="shared" si="5"/>
        <v>0.14899999999999999</v>
      </c>
    </row>
    <row r="16" spans="1:44" x14ac:dyDescent="0.35">
      <c r="Z16" t="s">
        <v>270</v>
      </c>
      <c r="AA16">
        <f t="shared" si="0"/>
        <v>888912670.23215461</v>
      </c>
      <c r="AB16">
        <v>0.24184677820611902</v>
      </c>
      <c r="AC16">
        <v>2</v>
      </c>
      <c r="AD16">
        <f t="shared" si="2"/>
        <v>0.48369355641223805</v>
      </c>
      <c r="AE16" s="48"/>
      <c r="AF16" s="48"/>
      <c r="AI16" t="s">
        <v>270</v>
      </c>
      <c r="AJ16">
        <v>2</v>
      </c>
      <c r="AK16">
        <f t="shared" si="1"/>
        <v>888912670.23215461</v>
      </c>
      <c r="AL16">
        <v>0.24184677820611902</v>
      </c>
      <c r="AM16">
        <f>C8/100</f>
        <v>0.24199999999999999</v>
      </c>
      <c r="AN16">
        <f t="shared" si="3"/>
        <v>889475840</v>
      </c>
      <c r="AO16">
        <f t="shared" si="4"/>
        <v>888912670.23215461</v>
      </c>
      <c r="AP16">
        <f t="shared" si="5"/>
        <v>0.48399999999999999</v>
      </c>
    </row>
    <row r="17" spans="26:42" x14ac:dyDescent="0.35">
      <c r="Z17" t="s">
        <v>181</v>
      </c>
      <c r="AA17">
        <f>SUM(AA10:AA16)</f>
        <v>3675520000</v>
      </c>
      <c r="AD17">
        <f>SUM(AD10:AD16)</f>
        <v>23.021310694276348</v>
      </c>
      <c r="AE17" s="48"/>
      <c r="AF17" s="48"/>
      <c r="AI17" t="s">
        <v>291</v>
      </c>
      <c r="AJ17">
        <v>12</v>
      </c>
      <c r="AK17">
        <f t="shared" si="1"/>
        <v>0</v>
      </c>
      <c r="AL17">
        <v>0</v>
      </c>
      <c r="AM17">
        <f>C9/100</f>
        <v>6.0000000000000001E-3</v>
      </c>
      <c r="AN17">
        <f t="shared" si="3"/>
        <v>22053120</v>
      </c>
      <c r="AO17">
        <f t="shared" si="4"/>
        <v>0</v>
      </c>
      <c r="AP17">
        <f t="shared" si="5"/>
        <v>7.2000000000000008E-2</v>
      </c>
    </row>
    <row r="18" spans="26:42" x14ac:dyDescent="0.35">
      <c r="Z18" s="96"/>
      <c r="AA18" s="48"/>
      <c r="AB18" s="48"/>
      <c r="AC18" s="48"/>
      <c r="AD18" s="48"/>
      <c r="AE18" s="48"/>
      <c r="AF18" s="48"/>
      <c r="AI18" t="s">
        <v>181</v>
      </c>
      <c r="AK18">
        <f>SUM(AK10:AK17)</f>
        <v>3675520000</v>
      </c>
      <c r="AM18">
        <f>SUM(AM10:AM17)</f>
        <v>1</v>
      </c>
      <c r="AN18">
        <f>SUM(AN10:AN17)</f>
        <v>3675520000</v>
      </c>
      <c r="AO18">
        <f>SUM(AO10:AO17)</f>
        <v>3675520000</v>
      </c>
      <c r="AP18">
        <f>SUM(AP10:AP17)</f>
        <v>14.6539</v>
      </c>
    </row>
    <row r="19" spans="26:42" x14ac:dyDescent="0.35">
      <c r="Z19" s="96"/>
      <c r="AA19" s="48"/>
      <c r="AB19" s="48"/>
      <c r="AC19" s="48"/>
      <c r="AD19" s="48"/>
      <c r="AE19" s="48"/>
      <c r="AF19" s="48"/>
      <c r="AI19" s="96"/>
      <c r="AJ19" s="48"/>
      <c r="AK19" s="48"/>
      <c r="AL19" s="48"/>
      <c r="AM19" s="48"/>
      <c r="AN19" s="48"/>
      <c r="AO19" s="48"/>
      <c r="AP19" s="35"/>
    </row>
    <row r="20" spans="26:42" ht="15" thickBot="1" x14ac:dyDescent="0.4">
      <c r="Z20" s="96"/>
      <c r="AA20" s="48"/>
      <c r="AB20" s="48"/>
      <c r="AC20" s="48"/>
      <c r="AD20" s="48"/>
      <c r="AE20" s="48"/>
      <c r="AF20" s="48"/>
      <c r="AI20" s="96"/>
      <c r="AJ20" s="48"/>
      <c r="AK20" s="48"/>
      <c r="AL20" s="48"/>
      <c r="AM20" s="48"/>
      <c r="AN20" s="48"/>
      <c r="AO20" s="48"/>
      <c r="AP20" s="35"/>
    </row>
    <row r="21" spans="26:42" x14ac:dyDescent="0.35">
      <c r="Z21" s="95" t="s">
        <v>490</v>
      </c>
      <c r="AD21" s="97" t="s">
        <v>491</v>
      </c>
      <c r="AE21" s="98"/>
      <c r="AF21" s="48"/>
      <c r="AI21" s="95" t="s">
        <v>490</v>
      </c>
      <c r="AJ21" s="48"/>
      <c r="AK21" s="48"/>
      <c r="AL21" s="48"/>
      <c r="AM21" s="112" t="s">
        <v>496</v>
      </c>
      <c r="AN21" s="113"/>
      <c r="AO21" s="48"/>
      <c r="AP21" s="35"/>
    </row>
    <row r="22" spans="26:42" x14ac:dyDescent="0.35">
      <c r="Z22" t="s">
        <v>285</v>
      </c>
      <c r="AA22" s="17">
        <v>1280000</v>
      </c>
      <c r="AD22" s="119" t="s">
        <v>181</v>
      </c>
      <c r="AE22" s="120">
        <f>SUM(AE23:AE27)</f>
        <v>6.1560445176784055</v>
      </c>
      <c r="AF22" s="48"/>
      <c r="AI22" t="s">
        <v>285</v>
      </c>
      <c r="AJ22" s="17">
        <f>C14</f>
        <v>1280000</v>
      </c>
      <c r="AM22" s="119" t="s">
        <v>181</v>
      </c>
      <c r="AN22" s="120">
        <f>SUM(AN23:AN27)</f>
        <v>4.832858679686038</v>
      </c>
      <c r="AO22" s="48"/>
      <c r="AP22" s="35"/>
    </row>
    <row r="23" spans="26:42" x14ac:dyDescent="0.35">
      <c r="Z23" t="s">
        <v>287</v>
      </c>
      <c r="AA23" s="52">
        <v>679.77</v>
      </c>
      <c r="AD23" s="99" t="s">
        <v>281</v>
      </c>
      <c r="AE23" s="100">
        <f>AA33</f>
        <v>3.4323006915719372</v>
      </c>
      <c r="AF23" s="48"/>
      <c r="AI23" t="s">
        <v>287</v>
      </c>
      <c r="AJ23" s="52">
        <v>679.77</v>
      </c>
      <c r="AM23" s="99" t="s">
        <v>281</v>
      </c>
      <c r="AN23" s="100">
        <f>AJ33</f>
        <v>2.184783993064781</v>
      </c>
      <c r="AO23" s="48"/>
      <c r="AP23" s="35"/>
    </row>
    <row r="24" spans="26:42" x14ac:dyDescent="0.35">
      <c r="Z24" t="s">
        <v>289</v>
      </c>
      <c r="AA24" s="52">
        <v>2871.5</v>
      </c>
      <c r="AD24" s="99" t="s">
        <v>286</v>
      </c>
      <c r="AE24" s="100">
        <f>AA46</f>
        <v>0.92986829723000686</v>
      </c>
      <c r="AF24" s="48"/>
      <c r="AI24" t="s">
        <v>289</v>
      </c>
      <c r="AJ24" s="52">
        <v>2871.5</v>
      </c>
      <c r="AM24" s="99" t="s">
        <v>286</v>
      </c>
      <c r="AN24" s="100">
        <f>AJ48</f>
        <v>0.85374456994011416</v>
      </c>
      <c r="AO24" s="48"/>
      <c r="AP24" s="35"/>
    </row>
    <row r="25" spans="26:42" x14ac:dyDescent="0.35">
      <c r="Z25" t="s">
        <v>292</v>
      </c>
      <c r="AA25">
        <f>AA22*AA24</f>
        <v>3675520000</v>
      </c>
      <c r="AD25" s="99" t="s">
        <v>288</v>
      </c>
      <c r="AE25" s="100">
        <f>AA60</f>
        <v>1.3865089158478898</v>
      </c>
      <c r="AI25" t="s">
        <v>292</v>
      </c>
      <c r="AJ25">
        <f>AJ22*AJ24</f>
        <v>3675520000</v>
      </c>
      <c r="AM25" s="99" t="s">
        <v>288</v>
      </c>
      <c r="AN25" s="100">
        <f>AJ62</f>
        <v>1.3869635036525716</v>
      </c>
      <c r="AO25" s="48"/>
      <c r="AP25" s="35"/>
    </row>
    <row r="26" spans="26:42" x14ac:dyDescent="0.35">
      <c r="Z26" t="s">
        <v>294</v>
      </c>
      <c r="AA26" s="52">
        <v>0.24</v>
      </c>
      <c r="AD26" s="99" t="s">
        <v>290</v>
      </c>
      <c r="AE26" s="100">
        <f>AA51</f>
        <v>0.19170193554285717</v>
      </c>
      <c r="AI26" t="s">
        <v>294</v>
      </c>
      <c r="AJ26" s="52">
        <v>0.24</v>
      </c>
      <c r="AM26" s="99" t="s">
        <v>290</v>
      </c>
      <c r="AN26" s="100">
        <f>AJ53</f>
        <v>0.19170193554285717</v>
      </c>
      <c r="AO26" s="48"/>
      <c r="AP26" s="35"/>
    </row>
    <row r="27" spans="26:42" ht="15" thickBot="1" x14ac:dyDescent="0.4">
      <c r="Z27" t="s">
        <v>276</v>
      </c>
      <c r="AA27" s="52">
        <f>AD17/100</f>
        <v>0.23021310694276348</v>
      </c>
      <c r="AD27" s="101" t="s">
        <v>293</v>
      </c>
      <c r="AE27" s="102">
        <f>AA66</f>
        <v>0.21566467748571425</v>
      </c>
      <c r="AI27" t="s">
        <v>276</v>
      </c>
      <c r="AJ27" s="52">
        <f>AP18/100</f>
        <v>0.146539</v>
      </c>
      <c r="AM27" s="101" t="s">
        <v>293</v>
      </c>
      <c r="AN27" s="102">
        <f>AJ68</f>
        <v>0.21566467748571425</v>
      </c>
    </row>
    <row r="28" spans="26:42" ht="15" thickBot="1" x14ac:dyDescent="0.4">
      <c r="Z28" t="s">
        <v>295</v>
      </c>
      <c r="AA28">
        <f>AA25*AA26*AA27</f>
        <v>203076690.91926384</v>
      </c>
      <c r="AI28" t="s">
        <v>295</v>
      </c>
      <c r="AJ28">
        <f>AJ25*AJ26*AJ27</f>
        <v>129265686.06720001</v>
      </c>
    </row>
    <row r="29" spans="26:42" x14ac:dyDescent="0.35">
      <c r="Z29" t="s">
        <v>296</v>
      </c>
      <c r="AA29">
        <v>0.67605999999999999</v>
      </c>
      <c r="AD29" s="97" t="s">
        <v>492</v>
      </c>
      <c r="AE29" s="103"/>
      <c r="AF29" s="98"/>
      <c r="AI29" t="s">
        <v>296</v>
      </c>
      <c r="AJ29">
        <v>0.67605999999999999</v>
      </c>
      <c r="AM29" s="114" t="s">
        <v>492</v>
      </c>
      <c r="AN29" s="103"/>
      <c r="AO29" s="98"/>
    </row>
    <row r="30" spans="26:42" x14ac:dyDescent="0.35">
      <c r="Z30" t="s">
        <v>299</v>
      </c>
      <c r="AA30">
        <f>AA28*AA29/1000</f>
        <v>137292.02766287749</v>
      </c>
      <c r="AD30" s="99" t="s">
        <v>280</v>
      </c>
      <c r="AE30" s="104" t="s">
        <v>281</v>
      </c>
      <c r="AF30" s="100" t="s">
        <v>282</v>
      </c>
      <c r="AI30" t="s">
        <v>299</v>
      </c>
      <c r="AJ30">
        <f>AJ28*AJ29/1000</f>
        <v>87391.359722591238</v>
      </c>
      <c r="AM30" s="99" t="s">
        <v>280</v>
      </c>
      <c r="AN30" s="104" t="s">
        <v>281</v>
      </c>
      <c r="AO30" s="100" t="s">
        <v>282</v>
      </c>
    </row>
    <row r="31" spans="26:42" ht="15" thickBot="1" x14ac:dyDescent="0.4">
      <c r="Z31" t="s">
        <v>300</v>
      </c>
      <c r="AA31">
        <f>AA30/1000000</f>
        <v>0.13729202766287749</v>
      </c>
      <c r="AD31" s="101" t="s">
        <v>181</v>
      </c>
      <c r="AE31" s="105">
        <f>AE23</f>
        <v>3.4323006915719372</v>
      </c>
      <c r="AF31" s="102">
        <f>SUM(AE24:AE27)</f>
        <v>2.7237438261064679</v>
      </c>
      <c r="AI31" t="s">
        <v>300</v>
      </c>
      <c r="AJ31">
        <f>AJ30/1000000</f>
        <v>8.7391359722591239E-2</v>
      </c>
      <c r="AM31" s="101" t="s">
        <v>181</v>
      </c>
      <c r="AN31" s="105">
        <f>AN23</f>
        <v>2.184783993064781</v>
      </c>
      <c r="AO31" s="102">
        <f>SUM(AN24:AN27)</f>
        <v>2.648074686621257</v>
      </c>
    </row>
    <row r="32" spans="26:42" x14ac:dyDescent="0.35">
      <c r="Z32" t="s">
        <v>301</v>
      </c>
      <c r="AA32" s="52">
        <v>25</v>
      </c>
      <c r="AI32" t="s">
        <v>301</v>
      </c>
      <c r="AJ32" s="52">
        <v>25</v>
      </c>
    </row>
    <row r="33" spans="26:48" x14ac:dyDescent="0.35">
      <c r="Z33" t="s">
        <v>302</v>
      </c>
      <c r="AA33">
        <f>AA31*AA32</f>
        <v>3.4323006915719372</v>
      </c>
      <c r="AI33" t="s">
        <v>302</v>
      </c>
      <c r="AJ33">
        <f>AJ31*AJ32</f>
        <v>2.184783993064781</v>
      </c>
    </row>
    <row r="35" spans="26:48" x14ac:dyDescent="0.35">
      <c r="Z35" t="s">
        <v>303</v>
      </c>
      <c r="AA35" s="53">
        <v>159.91</v>
      </c>
      <c r="AI35" t="s">
        <v>303</v>
      </c>
      <c r="AJ35" s="53">
        <v>159.91</v>
      </c>
    </row>
    <row r="36" spans="26:48" x14ac:dyDescent="0.35">
      <c r="Z36" t="s">
        <v>304</v>
      </c>
      <c r="AA36">
        <f>AA22*AA35</f>
        <v>204684800</v>
      </c>
      <c r="AI36" t="s">
        <v>304</v>
      </c>
      <c r="AJ36">
        <f>AJ22*AJ35</f>
        <v>204684800</v>
      </c>
      <c r="AS36" s="56"/>
      <c r="AU36" s="56"/>
      <c r="AV36" s="58"/>
    </row>
    <row r="37" spans="26:48" x14ac:dyDescent="0.35">
      <c r="Z37" t="s">
        <v>305</v>
      </c>
      <c r="AA37">
        <v>0</v>
      </c>
      <c r="AI37" t="s">
        <v>305</v>
      </c>
      <c r="AJ37">
        <v>0</v>
      </c>
      <c r="AS37" s="56"/>
      <c r="AU37" s="56"/>
      <c r="AV37" s="58"/>
    </row>
    <row r="38" spans="26:48" x14ac:dyDescent="0.35">
      <c r="Z38" t="s">
        <v>306</v>
      </c>
      <c r="AA38">
        <f>AA36*(1-AA37)*(AA5+AB5)</f>
        <v>67198107.338377282</v>
      </c>
      <c r="AI38" t="s">
        <v>306</v>
      </c>
      <c r="AJ38">
        <f>AJ36*(1-AJ37)*(AJ5+AK5)</f>
        <v>30907404.800000004</v>
      </c>
      <c r="AS38" s="56"/>
      <c r="AU38" s="56"/>
      <c r="AV38" s="57"/>
    </row>
    <row r="39" spans="26:48" x14ac:dyDescent="0.35">
      <c r="Z39" t="s">
        <v>307</v>
      </c>
      <c r="AA39">
        <f>AA36*(1-AA37)*(AD5+AF5)</f>
        <v>95924385.063374728</v>
      </c>
      <c r="AI39" t="s">
        <v>307</v>
      </c>
      <c r="AJ39">
        <f>AJ36*(1-AJ37)*(AM5+AO5)</f>
        <v>88014464</v>
      </c>
      <c r="AS39" s="56"/>
      <c r="AU39" s="56"/>
      <c r="AV39" s="57"/>
    </row>
    <row r="40" spans="26:48" x14ac:dyDescent="0.35">
      <c r="Z40" t="s">
        <v>308</v>
      </c>
      <c r="AA40" s="53">
        <v>1E-3</v>
      </c>
      <c r="AI40" t="s">
        <v>308</v>
      </c>
      <c r="AJ40" s="53">
        <v>1E-3</v>
      </c>
      <c r="AS40" s="56"/>
      <c r="AU40" s="56"/>
      <c r="AV40" s="59"/>
    </row>
    <row r="41" spans="26:48" x14ac:dyDescent="0.35">
      <c r="Z41" t="s">
        <v>309</v>
      </c>
      <c r="AA41" s="53">
        <v>0.02</v>
      </c>
      <c r="AI41" t="s">
        <v>309</v>
      </c>
      <c r="AJ41" s="53">
        <v>0.02</v>
      </c>
      <c r="AS41" s="56"/>
      <c r="AU41" s="60"/>
      <c r="AV41" s="57"/>
    </row>
    <row r="42" spans="26:48" x14ac:dyDescent="0.35">
      <c r="Z42" t="s">
        <v>310</v>
      </c>
      <c r="AA42" s="1">
        <f>AA38*AA40</f>
        <v>67198.107338377289</v>
      </c>
      <c r="AI42" t="s">
        <v>310</v>
      </c>
      <c r="AJ42" s="1">
        <f>AJ38*AJ40</f>
        <v>30907.404800000004</v>
      </c>
      <c r="AS42" s="56"/>
      <c r="AU42" s="56"/>
      <c r="AV42" s="57"/>
    </row>
    <row r="43" spans="26:48" x14ac:dyDescent="0.35">
      <c r="Z43" t="s">
        <v>311</v>
      </c>
      <c r="AA43" s="1">
        <f>AA39*AA41</f>
        <v>1918487.7012674946</v>
      </c>
      <c r="AH43" s="61"/>
      <c r="AI43" t="s">
        <v>311</v>
      </c>
      <c r="AJ43" s="1">
        <f>AJ39*AJ41</f>
        <v>1760289.28</v>
      </c>
      <c r="AV43" s="61"/>
    </row>
    <row r="44" spans="26:48" x14ac:dyDescent="0.35">
      <c r="Z44" t="s">
        <v>312</v>
      </c>
      <c r="AA44" s="1">
        <f>(AA42+AA43)*(44/28)</f>
        <v>3120363.4135235129</v>
      </c>
      <c r="AI44" s="54" t="s">
        <v>313</v>
      </c>
      <c r="AJ44" s="55">
        <f>AJ36*(1-AJ37)*AP5*0.0006</f>
        <v>25790.284799999998</v>
      </c>
    </row>
    <row r="45" spans="26:48" x14ac:dyDescent="0.35">
      <c r="Z45" t="s">
        <v>314</v>
      </c>
      <c r="AA45" s="53">
        <v>298</v>
      </c>
      <c r="AI45" s="54" t="s">
        <v>315</v>
      </c>
      <c r="AJ45" s="55">
        <f>AJ36*(1-AJ37)*AQ5*0.005</f>
        <v>6140.5440000000008</v>
      </c>
    </row>
    <row r="46" spans="26:48" x14ac:dyDescent="0.35">
      <c r="Z46" t="s">
        <v>316</v>
      </c>
      <c r="AA46">
        <f>(AA44/1000000000)*AA45</f>
        <v>0.92986829723000686</v>
      </c>
      <c r="AI46" t="s">
        <v>312</v>
      </c>
      <c r="AJ46" s="1">
        <f>(AJ42+AJ43+AJ44+AJ45)*(44/28)</f>
        <v>2864914.6642285711</v>
      </c>
    </row>
    <row r="47" spans="26:48" x14ac:dyDescent="0.35">
      <c r="Z47" t="s">
        <v>317</v>
      </c>
      <c r="AA47" s="53">
        <v>0.01</v>
      </c>
      <c r="AI47" t="s">
        <v>314</v>
      </c>
      <c r="AJ47" s="53">
        <v>298</v>
      </c>
    </row>
    <row r="48" spans="26:48" x14ac:dyDescent="0.35">
      <c r="Z48" t="s">
        <v>318</v>
      </c>
      <c r="AA48" s="53">
        <v>0.2</v>
      </c>
      <c r="AI48" t="s">
        <v>316</v>
      </c>
      <c r="AJ48">
        <f>(AJ46/1000000000)*AJ47</f>
        <v>0.85374456994011416</v>
      </c>
    </row>
    <row r="49" spans="26:44" x14ac:dyDescent="0.35">
      <c r="Z49" t="s">
        <v>319</v>
      </c>
      <c r="AA49">
        <f>(AA36*AA47*AA48)/1000</f>
        <v>409.36960000000005</v>
      </c>
      <c r="AI49" t="s">
        <v>317</v>
      </c>
      <c r="AJ49" s="53">
        <v>0.01</v>
      </c>
    </row>
    <row r="50" spans="26:44" x14ac:dyDescent="0.35">
      <c r="Z50" t="s">
        <v>320</v>
      </c>
      <c r="AA50">
        <f>AA49*(44/28)</f>
        <v>643.29508571428573</v>
      </c>
      <c r="AI50" t="s">
        <v>318</v>
      </c>
      <c r="AJ50" s="53">
        <v>0.2</v>
      </c>
    </row>
    <row r="51" spans="26:44" x14ac:dyDescent="0.35">
      <c r="Z51" t="s">
        <v>321</v>
      </c>
      <c r="AA51">
        <f>(AA50*AA45)/1000000</f>
        <v>0.19170193554285717</v>
      </c>
      <c r="AI51" t="s">
        <v>319</v>
      </c>
      <c r="AJ51">
        <f>(AJ36*AJ49*AJ50)/1000</f>
        <v>409.36960000000005</v>
      </c>
    </row>
    <row r="52" spans="26:44" x14ac:dyDescent="0.35">
      <c r="Z52" t="s">
        <v>322</v>
      </c>
      <c r="AA52">
        <f>AA36*(AA5+AB5+AD5+AF5)</f>
        <v>163122492.40175202</v>
      </c>
      <c r="AI52" t="s">
        <v>320</v>
      </c>
      <c r="AJ52">
        <f>AJ51*(44/28)</f>
        <v>643.29508571428573</v>
      </c>
    </row>
    <row r="53" spans="26:44" x14ac:dyDescent="0.35">
      <c r="Z53" t="s">
        <v>323</v>
      </c>
      <c r="AA53">
        <f>AA36*AE5</f>
        <v>30465676.905991789</v>
      </c>
      <c r="AI53" t="s">
        <v>321</v>
      </c>
      <c r="AJ53">
        <f>(AJ52*AJ47)/1000000</f>
        <v>0.19170193554285717</v>
      </c>
    </row>
    <row r="54" spans="26:44" x14ac:dyDescent="0.35">
      <c r="Z54" t="s">
        <v>324</v>
      </c>
      <c r="AA54">
        <f>AA36*AC5</f>
        <v>11096630.692256091</v>
      </c>
      <c r="AI54" t="s">
        <v>322</v>
      </c>
      <c r="AJ54">
        <f>AJ36*(AJ5+AK5+AM5+AO5+AP5+AQ5)</f>
        <v>163133785.59999999</v>
      </c>
    </row>
    <row r="55" spans="26:44" x14ac:dyDescent="0.35">
      <c r="Z55" t="s">
        <v>325</v>
      </c>
      <c r="AA55" s="53">
        <f>0.0125</f>
        <v>1.2500000000000001E-2</v>
      </c>
      <c r="AI55" t="s">
        <v>323</v>
      </c>
      <c r="AJ55">
        <f>AJ36*AN5</f>
        <v>30498035.199999999</v>
      </c>
    </row>
    <row r="56" spans="26:44" x14ac:dyDescent="0.35">
      <c r="Z56" t="s">
        <v>326</v>
      </c>
      <c r="AA56">
        <f>((AA52+AA54)*(1-AA48)*AA55)/1000</f>
        <v>1742.1912309400811</v>
      </c>
      <c r="AI56" t="s">
        <v>324</v>
      </c>
      <c r="AJ56">
        <f>AJ36*AL5</f>
        <v>11052979.200000001</v>
      </c>
      <c r="AR56" s="56"/>
    </row>
    <row r="57" spans="26:44" x14ac:dyDescent="0.35">
      <c r="Z57" t="s">
        <v>327</v>
      </c>
      <c r="AA57" s="53">
        <v>0.02</v>
      </c>
      <c r="AI57" t="s">
        <v>325</v>
      </c>
      <c r="AJ57" s="53">
        <f>0.0125</f>
        <v>1.2500000000000001E-2</v>
      </c>
      <c r="AR57" s="56"/>
    </row>
    <row r="58" spans="26:44" x14ac:dyDescent="0.35">
      <c r="Z58" t="s">
        <v>328</v>
      </c>
      <c r="AA58">
        <f>(AA53*AA57)/1000</f>
        <v>609.31353811983581</v>
      </c>
      <c r="AI58" t="s">
        <v>326</v>
      </c>
      <c r="AJ58">
        <f>((AJ54+AJ56)*(1-AJ50)*AJ57)/1000</f>
        <v>1741.8676480000001</v>
      </c>
      <c r="AR58" s="56"/>
    </row>
    <row r="59" spans="26:44" x14ac:dyDescent="0.35">
      <c r="Z59" t="s">
        <v>329</v>
      </c>
      <c r="AA59">
        <f>(AA56+AA58+AA58)*(44/28)</f>
        <v>4652.7144827110396</v>
      </c>
      <c r="AI59" t="s">
        <v>327</v>
      </c>
      <c r="AJ59" s="53">
        <v>0.02</v>
      </c>
      <c r="AR59" s="56"/>
    </row>
    <row r="60" spans="26:44" x14ac:dyDescent="0.35">
      <c r="Z60" t="s">
        <v>330</v>
      </c>
      <c r="AA60">
        <f>(AA59*298)/1000000</f>
        <v>1.3865089158478898</v>
      </c>
      <c r="AI60" t="s">
        <v>328</v>
      </c>
      <c r="AJ60">
        <f>(AJ55*AJ59)/1000</f>
        <v>609.96070400000008</v>
      </c>
      <c r="AR60" s="56"/>
    </row>
    <row r="61" spans="26:44" x14ac:dyDescent="0.35">
      <c r="Z61" t="s">
        <v>331</v>
      </c>
      <c r="AA61" s="53">
        <f>0.3</f>
        <v>0.3</v>
      </c>
      <c r="AI61" t="s">
        <v>329</v>
      </c>
      <c r="AJ61">
        <f>(AJ58+AJ60+AJ60)*(44/28)</f>
        <v>4654.2399451428582</v>
      </c>
      <c r="AR61" s="56"/>
    </row>
    <row r="62" spans="26:44" x14ac:dyDescent="0.35">
      <c r="Z62" t="s">
        <v>332</v>
      </c>
      <c r="AA62">
        <f>(AA36*(1-AA37)*AA61)/1000</f>
        <v>61405.440000000002</v>
      </c>
      <c r="AI62" t="s">
        <v>330</v>
      </c>
      <c r="AJ62">
        <f>(AJ61*298)/1000000</f>
        <v>1.3869635036525716</v>
      </c>
      <c r="AR62" s="56"/>
    </row>
    <row r="63" spans="26:44" x14ac:dyDescent="0.35">
      <c r="Z63" t="s">
        <v>333</v>
      </c>
      <c r="AA63" s="53">
        <v>7.4999999999999997E-3</v>
      </c>
      <c r="AI63" t="s">
        <v>331</v>
      </c>
      <c r="AJ63" s="53">
        <f>0.3</f>
        <v>0.3</v>
      </c>
    </row>
    <row r="64" spans="26:44" x14ac:dyDescent="0.35">
      <c r="Z64" t="s">
        <v>334</v>
      </c>
      <c r="AA64">
        <f>AA62*AA63</f>
        <v>460.54079999999999</v>
      </c>
      <c r="AI64" t="s">
        <v>332</v>
      </c>
      <c r="AJ64">
        <f>(AJ36*(1-AJ37)*AJ63)/1000</f>
        <v>61405.440000000002</v>
      </c>
    </row>
    <row r="65" spans="26:36" x14ac:dyDescent="0.35">
      <c r="Z65" t="s">
        <v>335</v>
      </c>
      <c r="AA65">
        <f>AA64*(44/28)</f>
        <v>723.70697142857136</v>
      </c>
      <c r="AI65" t="s">
        <v>333</v>
      </c>
      <c r="AJ65" s="53">
        <v>7.4999999999999997E-3</v>
      </c>
    </row>
    <row r="66" spans="26:36" x14ac:dyDescent="0.35">
      <c r="Z66" t="s">
        <v>336</v>
      </c>
      <c r="AA66">
        <f>(AA65*AA45)/1000000</f>
        <v>0.21566467748571425</v>
      </c>
      <c r="AI66" t="s">
        <v>334</v>
      </c>
      <c r="AJ66">
        <f>AJ64*AJ65</f>
        <v>460.54079999999999</v>
      </c>
    </row>
    <row r="67" spans="26:36" x14ac:dyDescent="0.35">
      <c r="AI67" t="s">
        <v>335</v>
      </c>
      <c r="AJ67">
        <f>AJ66*(44/28)</f>
        <v>723.70697142857136</v>
      </c>
    </row>
    <row r="68" spans="26:36" x14ac:dyDescent="0.35">
      <c r="AI68" t="s">
        <v>337</v>
      </c>
      <c r="AJ68">
        <f>(AJ67*AJ47)/1000000</f>
        <v>0.21566467748571425</v>
      </c>
    </row>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FC41C1C8335424F9137DC5E9CBF083D" ma:contentTypeVersion="2" ma:contentTypeDescription="Create a new document." ma:contentTypeScope="" ma:versionID="ff483db2183e4224bad94e09f3657675">
  <xsd:schema xmlns:xsd="http://www.w3.org/2001/XMLSchema" xmlns:xs="http://www.w3.org/2001/XMLSchema" xmlns:p="http://schemas.microsoft.com/office/2006/metadata/properties" xmlns:ns3="cfe38e94-ce9a-41e4-bb99-0bdbfd665cda" targetNamespace="http://schemas.microsoft.com/office/2006/metadata/properties" ma:root="true" ma:fieldsID="f2b09c5ffb972f706b44ca18815b6df6" ns3:_="">
    <xsd:import namespace="cfe38e94-ce9a-41e4-bb99-0bdbfd665cda"/>
    <xsd:element name="properties">
      <xsd:complexType>
        <xsd:sequence>
          <xsd:element name="documentManagement">
            <xsd:complexType>
              <xsd:all>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e38e94-ce9a-41e4-bb99-0bdbfd665c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2C51F84-93DD-4A5C-B117-4733BC0B6CF8}">
  <ds:schemaRefs>
    <ds:schemaRef ds:uri="http://schemas.microsoft.com/sharepoint/v3/contenttype/forms"/>
  </ds:schemaRefs>
</ds:datastoreItem>
</file>

<file path=customXml/itemProps2.xml><?xml version="1.0" encoding="utf-8"?>
<ds:datastoreItem xmlns:ds="http://schemas.openxmlformats.org/officeDocument/2006/customXml" ds:itemID="{E3D000A1-4D7F-4B6A-B754-CD3F2418ADB9}">
  <ds:schemaRefs>
    <ds:schemaRef ds:uri="http://schemas.microsoft.com/office/2006/documentManagement/types"/>
    <ds:schemaRef ds:uri="http://schemas.microsoft.com/office/infopath/2007/PartnerControls"/>
    <ds:schemaRef ds:uri="cfe38e94-ce9a-41e4-bb99-0bdbfd665cda"/>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210CC250-5FF1-458A-891B-2E97AA2064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e38e94-ce9a-41e4-bb99-0bdbfd665c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Getting Started</vt:lpstr>
      <vt:lpstr>Inputs</vt:lpstr>
      <vt:lpstr>Results</vt:lpstr>
      <vt:lpstr>EPA GHG Calculator Equivalents</vt:lpstr>
      <vt:lpstr>Scenario Potential Calculations</vt:lpstr>
      <vt:lpstr>GrassfedTransition</vt:lpstr>
      <vt:lpstr>N Management Calcs</vt:lpstr>
      <vt:lpstr>Residues</vt:lpstr>
      <vt:lpstr>Manure Management Calcs</vt:lpstr>
      <vt:lpstr>Enteric Emissions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 Mathewson</dc:creator>
  <cp:lastModifiedBy>Paul Mathewson</cp:lastModifiedBy>
  <dcterms:created xsi:type="dcterms:W3CDTF">2022-08-23T20:53:24Z</dcterms:created>
  <dcterms:modified xsi:type="dcterms:W3CDTF">2025-10-24T18:58:22Z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0x0101005FC41C1C8335424F9137DC5E9CBF083D</vt:lpwstr>
  </property>
</Properties>
</file>