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66925"/>
  <mc:AlternateContent xmlns:mc="http://schemas.openxmlformats.org/markup-compatibility/2006">
    <mc:Choice Requires="x15">
      <x15ac:absPath xmlns:x15ac="http://schemas.microsoft.com/office/spreadsheetml/2010/11/ac" url="C:\Users\Paul Mathewson\Desktop\Solar vs Ethanol\"/>
    </mc:Choice>
  </mc:AlternateContent>
  <xr:revisionPtr revIDLastSave="0" documentId="13_ncr:1_{9758812F-B749-400D-AEFE-3D1DF01DC5D4}" xr6:coauthVersionLast="47" xr6:coauthVersionMax="47" xr10:uidLastSave="{00000000-0000-0000-0000-000000000000}"/>
  <bookViews>
    <workbookView xWindow="855" yWindow="4290" windowWidth="19665" windowHeight="10560" xr2:uid="{F15122EF-F6B6-45AC-BD3C-F3F74D31F1FC}"/>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C35" i="1"/>
  <c r="A80" i="1"/>
  <c r="A83" i="1" s="1"/>
  <c r="A86" i="1" s="1"/>
  <c r="C80" i="1"/>
  <c r="C83" i="1" s="1"/>
  <c r="C86" i="1" s="1"/>
  <c r="C57" i="1"/>
  <c r="C59" i="1" s="1"/>
  <c r="C61" i="1" s="1"/>
  <c r="C62" i="1" s="1"/>
  <c r="C70" i="1" s="1"/>
  <c r="A90" i="1" l="1"/>
  <c r="C90" i="1"/>
  <c r="C96" i="1" s="1"/>
  <c r="A92" i="1"/>
  <c r="C91" i="1"/>
  <c r="A91" i="1"/>
  <c r="C92" i="1"/>
  <c r="A57" i="1"/>
  <c r="A59" i="1" s="1"/>
  <c r="A61" i="1" s="1"/>
  <c r="A62" i="1" s="1"/>
  <c r="A70" i="1" s="1"/>
  <c r="C48" i="1"/>
  <c r="A48" i="1"/>
  <c r="C44" i="1"/>
  <c r="A44" i="1"/>
  <c r="D17" i="1"/>
  <c r="D18" i="1"/>
  <c r="D19" i="1"/>
  <c r="D20" i="1"/>
  <c r="D22" i="1"/>
  <c r="D16" i="1"/>
  <c r="C23" i="1"/>
  <c r="C27" i="1" s="1"/>
  <c r="C28" i="1" s="1"/>
  <c r="B23" i="1"/>
  <c r="B33" i="1" s="1"/>
  <c r="B35" i="1" s="1"/>
  <c r="B11" i="1"/>
  <c r="C11" i="1" s="1"/>
  <c r="D11" i="1" s="1"/>
  <c r="E11" i="1" s="1"/>
  <c r="B10" i="1"/>
  <c r="C10" i="1" s="1"/>
  <c r="D10" i="1" s="1"/>
  <c r="B12" i="1"/>
  <c r="C12" i="1" s="1"/>
  <c r="D12" i="1" s="1"/>
  <c r="B9" i="1"/>
  <c r="C9" i="1" s="1"/>
  <c r="D9" i="1" s="1"/>
  <c r="B8" i="1"/>
  <c r="C8" i="1" s="1"/>
  <c r="D8" i="1" s="1"/>
  <c r="B7" i="1"/>
  <c r="C7" i="1" s="1"/>
  <c r="D7" i="1" s="1"/>
  <c r="F7" i="1" s="1"/>
  <c r="B5" i="1"/>
  <c r="C5" i="1" s="1"/>
  <c r="D5" i="1" s="1"/>
  <c r="B4" i="1"/>
  <c r="C4" i="1" s="1"/>
  <c r="D4" i="1" s="1"/>
  <c r="B3" i="1"/>
  <c r="C3" i="1" s="1"/>
  <c r="D3" i="1" s="1"/>
  <c r="E3" i="1" s="1"/>
  <c r="B6" i="1"/>
  <c r="C6" i="1" s="1"/>
  <c r="D6" i="1" s="1"/>
  <c r="F6" i="1" s="1"/>
  <c r="G6" i="1" s="1"/>
  <c r="B27" i="1" l="1"/>
  <c r="B28" i="1" s="1"/>
  <c r="B32" i="1"/>
  <c r="B34" i="1" s="1"/>
  <c r="A100" i="1"/>
  <c r="C98" i="1"/>
  <c r="A102" i="1" s="1"/>
  <c r="C97" i="1"/>
  <c r="A101" i="1" s="1"/>
  <c r="A98" i="1"/>
  <c r="C102" i="1" s="1"/>
  <c r="A97" i="1"/>
  <c r="C101" i="1" s="1"/>
  <c r="A96" i="1"/>
  <c r="C100" i="1" s="1"/>
  <c r="A71" i="1"/>
  <c r="C73" i="1" s="1"/>
  <c r="C71" i="1"/>
  <c r="C74" i="1" s="1"/>
  <c r="C64" i="1"/>
  <c r="C65" i="1"/>
  <c r="D23" i="1"/>
  <c r="C50" i="1"/>
  <c r="E5" i="1"/>
  <c r="F5" i="1"/>
  <c r="G5" i="1" s="1"/>
  <c r="F12" i="1"/>
  <c r="E12" i="1"/>
  <c r="E10" i="1"/>
  <c r="F10" i="1"/>
  <c r="C32" i="1" s="1"/>
  <c r="F4" i="1"/>
  <c r="G4" i="1" s="1"/>
  <c r="E4" i="1"/>
  <c r="F8" i="1"/>
  <c r="E8" i="1"/>
  <c r="E9" i="1"/>
  <c r="F9" i="1"/>
  <c r="F11" i="1"/>
  <c r="C51" i="1"/>
  <c r="E7" i="1"/>
  <c r="E6" i="1"/>
  <c r="F3" i="1"/>
  <c r="G3" i="1" s="1"/>
  <c r="C33" i="1" l="1"/>
  <c r="D33" i="1" s="1"/>
  <c r="D32" i="1"/>
  <c r="C75" i="1"/>
  <c r="C66" i="1"/>
  <c r="C52" i="1"/>
</calcChain>
</file>

<file path=xl/sharedStrings.xml><?xml version="1.0" encoding="utf-8"?>
<sst xmlns="http://schemas.openxmlformats.org/spreadsheetml/2006/main" count="192" uniqueCount="134">
  <si>
    <r>
      <rPr>
        <b/>
        <sz val="11"/>
        <color theme="1"/>
        <rFont val="Calibri"/>
        <family val="2"/>
        <scheme val="minor"/>
      </rPr>
      <t xml:space="preserve">Table 1. </t>
    </r>
    <r>
      <rPr>
        <sz val="11"/>
        <color theme="1"/>
        <rFont val="Calibri"/>
        <family val="2"/>
        <scheme val="minor"/>
      </rPr>
      <t>Incorporating WI-specific solar radiation and corn yields into Geyer et al. calculations of area needed to power 100 km of vehicle transport. These calculations use the equations presented in the Supplemental Materials accompanying Geyer et al. The units are then converted into miles of transport per acre of land use to compare to other analyses. Finally, we adjust the PV calculations to assume that panels account for 60% of a solar facility's total footprint.</t>
    </r>
  </si>
  <si>
    <t>m2/100km</t>
  </si>
  <si>
    <t>acre/100mi</t>
  </si>
  <si>
    <t>acre per mile</t>
  </si>
  <si>
    <t>miles per 1 million acres</t>
  </si>
  <si>
    <t>miles per acre</t>
  </si>
  <si>
    <t>Panel footprint adjustment (assuming panel is 60% of total area)</t>
  </si>
  <si>
    <t>Notes</t>
  </si>
  <si>
    <t>PV to BEV (CdTe 2010)</t>
  </si>
  <si>
    <t>Uses WI-specific annual average solar radiation value of 4.46 kWh/day per m2</t>
  </si>
  <si>
    <t>PV to BEV (mono-SI 2010)</t>
  </si>
  <si>
    <t>Uses WI-specific annual average solar radiation value of 4.46 kWh/day per m2; uses solar-to-efficiency conversion efficiency for 14% for mono-SI rather than the 9% for CdTe used by Geyer</t>
  </si>
  <si>
    <t>PV to BEV (CdTe 2022)</t>
  </si>
  <si>
    <t>Uses WI-specific annual average solar radiation value of 4.46 kWh/day per m2; uses updated solar-to-efficiency conversion efficiency value for CdTe (18%)</t>
  </si>
  <si>
    <t>PV to BEV (mono-SI 2022)</t>
  </si>
  <si>
    <t>Uses WI-specific annual average solar radiation value of 4.46 kWh/day per m2; uses updated solar-to-efficiency conversion efficiency value for mono-SI (20%)</t>
  </si>
  <si>
    <t>Corn ethanol to ICE_Avg yield</t>
  </si>
  <si>
    <t>Uses average 2021 corn grain yield</t>
  </si>
  <si>
    <t>Corn ethanol to ICE_Max yield</t>
  </si>
  <si>
    <t>Uses maximum 2021 corn grain yield</t>
  </si>
  <si>
    <t>Switchgrass ethanol to ICE</t>
  </si>
  <si>
    <t>Corn ethanol to BEV_Avg yield</t>
  </si>
  <si>
    <t>Corn ethanol to BEV_Max yield</t>
  </si>
  <si>
    <t>Switchgrass ethanol to BEV</t>
  </si>
  <si>
    <r>
      <rPr>
        <b/>
        <sz val="11"/>
        <color theme="1"/>
        <rFont val="Calibri"/>
        <family val="2"/>
        <scheme val="minor"/>
      </rPr>
      <t>Table 2.</t>
    </r>
    <r>
      <rPr>
        <sz val="11"/>
        <color theme="1"/>
        <rFont val="Calibri"/>
        <family val="2"/>
        <scheme val="minor"/>
      </rPr>
      <t xml:space="preserve"> Compiling all estimates of transportation powered per acre of solar PV and corn-for-ethanol production and calculating average value.</t>
    </r>
  </si>
  <si>
    <t>Source</t>
  </si>
  <si>
    <t>PV to EV (VMT/acre)</t>
  </si>
  <si>
    <t>Ethanol to ICE (VMT/acre)</t>
  </si>
  <si>
    <t>Fold Increase</t>
  </si>
  <si>
    <t>Geyer et al. 2013 (adjusted)</t>
  </si>
  <si>
    <t>Original value adjusted to assume 60% panel footprint</t>
  </si>
  <si>
    <t>Pontou et al. 2015 (adjusted)</t>
  </si>
  <si>
    <t>Nussey 2021</t>
  </si>
  <si>
    <t>Smith 2022</t>
  </si>
  <si>
    <t>Weaver 2022</t>
  </si>
  <si>
    <t>Carbon Brief</t>
  </si>
  <si>
    <t>This analysis used non-corn source for the ethanol</t>
  </si>
  <si>
    <t>Renew Wisconsin</t>
  </si>
  <si>
    <t>Average</t>
  </si>
  <si>
    <r>
      <t xml:space="preserve">Table 3. </t>
    </r>
    <r>
      <rPr>
        <sz val="11"/>
        <color theme="1"/>
        <rFont val="Calibri"/>
        <family val="2"/>
        <scheme val="minor"/>
      </rPr>
      <t>Vehicle miles traveled per 1 million acres of solar PV or corn-for-ethanol production</t>
    </r>
  </si>
  <si>
    <t>PV to EV</t>
  </si>
  <si>
    <t>Ethanol to ICE</t>
  </si>
  <si>
    <t xml:space="preserve">VMT on 1 million acres </t>
  </si>
  <si>
    <t>Passenger Vehicles</t>
  </si>
  <si>
    <t>Average annual VMT from: https://www.fhwa.dot.gov/ohim/onh00/bar8.htm</t>
  </si>
  <si>
    <r>
      <rPr>
        <b/>
        <sz val="11"/>
        <color theme="1"/>
        <rFont val="Calibri"/>
        <family val="2"/>
        <scheme val="minor"/>
      </rPr>
      <t>Table 4.</t>
    </r>
    <r>
      <rPr>
        <sz val="11"/>
        <color theme="1"/>
        <rFont val="Calibri"/>
        <family val="2"/>
        <scheme val="minor"/>
      </rPr>
      <t xml:space="preserve">  Electric vehicle miles traveled per 1 million acres of solar PV or corn-for-ethanol production</t>
    </r>
  </si>
  <si>
    <t xml:space="preserve">Ethanol to EV </t>
  </si>
  <si>
    <t>VMT on 1 million acres_low</t>
  </si>
  <si>
    <t>Assumes average corn yield of 180 bushels per acre</t>
  </si>
  <si>
    <t>VMT on 1 million acres_high</t>
  </si>
  <si>
    <t>Assumes maximum corn yield of 210 bushels per acre</t>
  </si>
  <si>
    <t>Passenger vehicles_low</t>
  </si>
  <si>
    <t>Passenger vehicles_high</t>
  </si>
  <si>
    <r>
      <rPr>
        <b/>
        <sz val="11"/>
        <color theme="1"/>
        <rFont val="Calibri"/>
        <family val="2"/>
        <scheme val="minor"/>
      </rPr>
      <t>Table 5.</t>
    </r>
    <r>
      <rPr>
        <sz val="11"/>
        <color theme="1"/>
        <rFont val="Calibri"/>
        <family val="2"/>
        <scheme val="minor"/>
      </rPr>
      <t xml:space="preserve"> Calculating total energy production per acre of corn and solar PV</t>
    </r>
  </si>
  <si>
    <t>Average Corn Yield</t>
  </si>
  <si>
    <t>Max corn yield</t>
  </si>
  <si>
    <t>Units</t>
  </si>
  <si>
    <t>bushels per acre</t>
  </si>
  <si>
    <t>https://www.nass.usda.gov/Statistics_by_State/Wisconsin/Publications/County_Estimates/2022/WI-CtyEst-Corn-02-22.pdf</t>
  </si>
  <si>
    <t>pounds per bushel</t>
  </si>
  <si>
    <t>https://www.ers.usda.gov/data-products/u-s-bioenergy-statistics/documentation/; https://www.nass.usda.gov/Statistics_by_State/Delaware/Publications/Annual_Statistical_Bulletin/2009/Page29.pdf</t>
  </si>
  <si>
    <t>kcal per pound</t>
  </si>
  <si>
    <t>https://necsi.edu/food-for-fuel-the-price-of-ethanol</t>
  </si>
  <si>
    <t>kJ per kcal</t>
  </si>
  <si>
    <t>kJ per MJ</t>
  </si>
  <si>
    <t>MJ energy per acre corn</t>
  </si>
  <si>
    <t>Lower Solar PV MWh per acre</t>
  </si>
  <si>
    <t>Upper Solar PV MWh per acre</t>
  </si>
  <si>
    <t>MWh per acre</t>
  </si>
  <si>
    <t>Estimated from Koshkonong and High Noon CPCN applications stating 500-700,000 MWh generation for ~2,000 acre projects; 325 MWh per acre is the approximately 25% energy density reported by Bolinger and Bolinger 2022 (https://ieeexplore.ieee.org/document/9676427)</t>
  </si>
  <si>
    <t>MJ per MWh</t>
  </si>
  <si>
    <t>MJ energy per acre solar PV</t>
  </si>
  <si>
    <t>Minimum solar:corn ratio</t>
  </si>
  <si>
    <t>Maximum solar:corn ratio</t>
  </si>
  <si>
    <t>Average solar:corn ratio</t>
  </si>
  <si>
    <r>
      <t>Table 6.</t>
    </r>
    <r>
      <rPr>
        <sz val="11"/>
        <color theme="1"/>
        <rFont val="Calibri"/>
        <family val="2"/>
        <scheme val="minor"/>
      </rPr>
      <t xml:space="preserve"> Calculating MJ per acre of ethanol</t>
    </r>
  </si>
  <si>
    <t>Lower Estimate</t>
  </si>
  <si>
    <t>Upper Estimate</t>
  </si>
  <si>
    <t>gallons ethanol per bushel</t>
  </si>
  <si>
    <t>https://www.extension.purdue.edu/extmedia/id/id-328.pdf; https://cropwatch.unl.edu/bioenergy/corn</t>
  </si>
  <si>
    <t>gallons ethanol per acre</t>
  </si>
  <si>
    <t>BTU per gallon ethanol</t>
  </si>
  <si>
    <t xml:space="preserve">https://www.usda.gov/sites/default/files/documents/2015EnergyBalanceCornEthanol.pdf; </t>
  </si>
  <si>
    <t>BTU per acre</t>
  </si>
  <si>
    <t>BTU per MWh</t>
  </si>
  <si>
    <t>https://www.eia.gov/energyexplained/units-and-calculators/energy-conversion-calculators.php</t>
  </si>
  <si>
    <t>MWh per acre ethanol</t>
  </si>
  <si>
    <t>MJ per acre ethanol</t>
  </si>
  <si>
    <t>Minimum solar:ethanol ratio</t>
  </si>
  <si>
    <t>Maximum solar:ethanol ratio</t>
  </si>
  <si>
    <t>Average solar:ethanol ratio</t>
  </si>
  <si>
    <r>
      <t xml:space="preserve">Table 7. </t>
    </r>
    <r>
      <rPr>
        <sz val="11"/>
        <color theme="1"/>
        <rFont val="Calibri"/>
        <family val="2"/>
        <scheme val="minor"/>
      </rPr>
      <t>Calculating net energy production per acre for ethanol and solar PV.</t>
    </r>
  </si>
  <si>
    <t>Net energy ethanol (MJ/acre)</t>
  </si>
  <si>
    <t>Net energy ethanol; assumes an EROI of 1.2:1</t>
  </si>
  <si>
    <t>Net energy PV (MJ/acre)</t>
  </si>
  <si>
    <t>Net energy PV; assumes an EROI of 8:1</t>
  </si>
  <si>
    <r>
      <t>Table 8.</t>
    </r>
    <r>
      <rPr>
        <sz val="11"/>
        <color theme="1"/>
        <rFont val="Calibri"/>
        <family val="2"/>
        <scheme val="minor"/>
      </rPr>
      <t xml:space="preserve"> Calculating MJ available to humans from distillers dried grains (DDGS)</t>
    </r>
  </si>
  <si>
    <t>pounds DDGS per bushel corn</t>
  </si>
  <si>
    <t>Lardy &amp; Anderson 2014 (https://www.ag.ndsu.edu/publications/livestock/feeding-coproducts-of-the-ethanol-industry-to-beef-cattle)</t>
  </si>
  <si>
    <t>pounds DDGS per acre</t>
  </si>
  <si>
    <t>kcal/kg dry mass DDGS</t>
  </si>
  <si>
    <t>Stein 2007 (https://nutrition.ansci.illinois.edu/sites/default/files/SwineFocus001.pdf)</t>
  </si>
  <si>
    <t>DDGS % dry mass</t>
  </si>
  <si>
    <t>kcal/acre</t>
  </si>
  <si>
    <t>MJ per kJ</t>
  </si>
  <si>
    <t>MJ per acre DDGS</t>
  </si>
  <si>
    <t>calorie conversion for beef</t>
  </si>
  <si>
    <t>Cassidy et al. 2013. Redefining agricultural yields: from tonnes to people nourished per hectare. Environmental Research Letters 8: 034015</t>
  </si>
  <si>
    <t>calorie conversion for pork</t>
  </si>
  <si>
    <t>Cassidy et al. 2013</t>
  </si>
  <si>
    <t>calorie conversion for dairy</t>
  </si>
  <si>
    <t>MJ per acre (beef from DDGS)</t>
  </si>
  <si>
    <t>MJ per acre (pork from DDGS)</t>
  </si>
  <si>
    <t>MJ per acre (dairy from DDGS)</t>
  </si>
  <si>
    <r>
      <t>Table 9.</t>
    </r>
    <r>
      <rPr>
        <sz val="11"/>
        <color theme="1"/>
        <rFont val="Calibri"/>
        <family val="2"/>
        <scheme val="minor"/>
      </rPr>
      <t xml:space="preserve"> Calculating combined energy per acre of ethanol + livestock product derived from DDGS</t>
    </r>
  </si>
  <si>
    <t>MJ per acre (ethanol + beef)</t>
  </si>
  <si>
    <t>MJ per acre (ethanol + pork)</t>
  </si>
  <si>
    <t>MJ per acre (ethanol + dairy)</t>
  </si>
  <si>
    <t>Min ratio solar: ethanol+beef</t>
  </si>
  <si>
    <t>Max ratio solar: ethanol+beef</t>
  </si>
  <si>
    <t>Min ratio solar: ethanol+pork</t>
  </si>
  <si>
    <t>Max ratio solar: ethanol+pork</t>
  </si>
  <si>
    <t>Min ratio solar: ethanol+dairy</t>
  </si>
  <si>
    <t>Max ratio solar: ethanol+dairy</t>
  </si>
  <si>
    <t>Animal Feed</t>
  </si>
  <si>
    <t>Ethanol Fuel</t>
  </si>
  <si>
    <t>Exports</t>
  </si>
  <si>
    <t>High Fructose Corn Syrup</t>
  </si>
  <si>
    <t>Glucose &amp; Dextrose</t>
  </si>
  <si>
    <t>Starch</t>
  </si>
  <si>
    <t>Cereal/Other</t>
  </si>
  <si>
    <t>Beverage</t>
  </si>
  <si>
    <t>Other</t>
  </si>
  <si>
    <t>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</si>
</sst>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0000000_);_(* \(#,##0.00000000\);_(* &quot;-&quot;??_);_(@_)"/>
  </numFmts>
  <fonts count="5">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52">
    <xf numFmtId="0" fontId="0" fillId="0" borderId="0" xfId="0"/>
    <xf numFmtId="43" fontId="0" fillId="0" borderId="0" xfId="0" applyNumberFormat="1"/>
    <xf numFmtId="3" fontId="0" fillId="0" borderId="0" xfId="0" applyNumberFormat="1"/>
    <xf numFmtId="0" fontId="2" fillId="0" borderId="0" xfId="0" applyFont="1"/>
    <xf numFmtId="165" fontId="0" fillId="0" borderId="0" xfId="1" applyNumberFormat="1" applyFont="1"/>
    <xf numFmtId="165" fontId="0" fillId="0" borderId="0" xfId="0" applyNumberFormat="1"/>
    <xf numFmtId="0" fontId="0" fillId="0" borderId="4" xfId="0" applyBorder="1"/>
    <xf numFmtId="0" fontId="0" fillId="0" borderId="5" xfId="0" applyBorder="1"/>
    <xf numFmtId="43" fontId="0" fillId="0" borderId="0" xfId="1" applyFont="1" applyBorder="1"/>
    <xf numFmtId="0" fontId="0" fillId="0" borderId="6" xfId="0" applyBorder="1"/>
    <xf numFmtId="0" fontId="0" fillId="0" borderId="7" xfId="0" applyBorder="1"/>
    <xf numFmtId="43" fontId="0" fillId="0" borderId="7" xfId="1" applyFont="1" applyBorder="1"/>
    <xf numFmtId="0" fontId="0" fillId="0" borderId="8" xfId="0" applyBorder="1"/>
    <xf numFmtId="0" fontId="2" fillId="0" borderId="4" xfId="0" applyFont="1" applyBorder="1"/>
    <xf numFmtId="0" fontId="2" fillId="0" borderId="5" xfId="0" applyFont="1" applyBorder="1"/>
    <xf numFmtId="164" fontId="0" fillId="0" borderId="0" xfId="0" applyNumberFormat="1"/>
    <xf numFmtId="0" fontId="2" fillId="0" borderId="6" xfId="0" applyFont="1" applyBorder="1"/>
    <xf numFmtId="3" fontId="2" fillId="0" borderId="7" xfId="0" applyNumberFormat="1" applyFont="1" applyBorder="1"/>
    <xf numFmtId="164" fontId="2" fillId="0" borderId="7" xfId="0" applyNumberFormat="1" applyFont="1" applyBorder="1"/>
    <xf numFmtId="43" fontId="0" fillId="0" borderId="4" xfId="1" applyFont="1" applyBorder="1"/>
    <xf numFmtId="43" fontId="0" fillId="0" borderId="5" xfId="0" applyNumberFormat="1" applyBorder="1"/>
    <xf numFmtId="0" fontId="4" fillId="0" borderId="5" xfId="2" applyBorder="1"/>
    <xf numFmtId="3" fontId="2" fillId="0" borderId="0" xfId="0" applyNumberFormat="1" applyFont="1"/>
    <xf numFmtId="164" fontId="2" fillId="0" borderId="0" xfId="0" applyNumberFormat="1" applyFont="1"/>
    <xf numFmtId="3" fontId="0" fillId="0" borderId="7" xfId="0" applyNumberFormat="1" applyBorder="1"/>
    <xf numFmtId="164" fontId="0" fillId="0" borderId="7" xfId="0" applyNumberFormat="1" applyBorder="1"/>
    <xf numFmtId="0" fontId="2" fillId="0" borderId="1" xfId="0" applyFont="1" applyBorder="1" applyAlignment="1">
      <alignment horizontal="center"/>
    </xf>
    <xf numFmtId="0" fontId="2" fillId="0" borderId="2" xfId="0" applyFont="1" applyBorder="1" applyAlignment="1">
      <alignment horizontal="center"/>
    </xf>
    <xf numFmtId="2" fontId="0" fillId="0" borderId="0" xfId="0" applyNumberFormat="1"/>
    <xf numFmtId="1" fontId="0" fillId="0" borderId="4" xfId="0" applyNumberFormat="1" applyBorder="1"/>
    <xf numFmtId="1" fontId="0" fillId="0" borderId="0" xfId="0" applyNumberFormat="1"/>
    <xf numFmtId="165" fontId="0" fillId="0" borderId="7" xfId="0" applyNumberFormat="1" applyBorder="1"/>
    <xf numFmtId="1" fontId="0" fillId="0" borderId="7" xfId="0" applyNumberFormat="1" applyBorder="1"/>
    <xf numFmtId="166" fontId="0" fillId="0" borderId="0" xfId="1" applyNumberFormat="1" applyFont="1"/>
    <xf numFmtId="0" fontId="2" fillId="0" borderId="1" xfId="0" applyFont="1" applyBorder="1"/>
    <xf numFmtId="0" fontId="2" fillId="0" borderId="2" xfId="0" applyFont="1" applyBorder="1"/>
    <xf numFmtId="0" fontId="0" fillId="0" borderId="2" xfId="0" applyBorder="1"/>
    <xf numFmtId="0" fontId="0" fillId="0" borderId="3" xfId="0" applyBorder="1"/>
    <xf numFmtId="43" fontId="0" fillId="0" borderId="4" xfId="0" applyNumberFormat="1" applyBorder="1"/>
    <xf numFmtId="1" fontId="0" fillId="0" borderId="6" xfId="0" applyNumberFormat="1" applyBorder="1"/>
    <xf numFmtId="164" fontId="2" fillId="0" borderId="3" xfId="0" applyNumberFormat="1" applyFont="1" applyBorder="1"/>
    <xf numFmtId="164" fontId="2" fillId="0" borderId="5" xfId="0" applyNumberFormat="1" applyFont="1" applyBorder="1"/>
    <xf numFmtId="164" fontId="0" fillId="0" borderId="8" xfId="0" applyNumberFormat="1" applyBorder="1"/>
    <xf numFmtId="3" fontId="2" fillId="0" borderId="2" xfId="0" applyNumberFormat="1" applyFont="1" applyBorder="1"/>
    <xf numFmtId="164" fontId="2" fillId="0" borderId="2" xfId="0" applyNumberFormat="1" applyFont="1" applyBorder="1"/>
    <xf numFmtId="0" fontId="2" fillId="0" borderId="3" xfId="0" applyFont="1" applyBorder="1"/>
    <xf numFmtId="1" fontId="2" fillId="0" borderId="7" xfId="0" applyNumberFormat="1" applyFont="1" applyBorder="1"/>
    <xf numFmtId="0" fontId="2" fillId="0" borderId="7" xfId="0" applyFont="1" applyBorder="1" applyAlignment="1">
      <alignment horizontal="left"/>
    </xf>
    <xf numFmtId="0" fontId="0" fillId="0" borderId="7" xfId="0" applyBorder="1" applyAlignment="1">
      <alignment horizontal="left" wrapText="1"/>
    </xf>
    <xf numFmtId="0" fontId="0" fillId="0" borderId="0" xfId="0" applyAlignment="1">
      <alignment horizontal="left"/>
    </xf>
    <xf numFmtId="0" fontId="2" fillId="0" borderId="0" xfId="0" applyFont="1" applyAlignment="1">
      <alignment horizontal="left" wrapText="1"/>
    </xf>
    <xf numFmtId="0" fontId="0" fillId="0" borderId="7" xfId="0"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FE-4060-9D4E-0B4F1B66A9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FE-4060-9D4E-0B4F1B66A9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FE-4060-9D4E-0B4F1B66A9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FE-4060-9D4E-0B4F1B66A9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FE-4060-9D4E-0B4F1B66A9A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BFE-4060-9D4E-0B4F1B66A9A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BFE-4060-9D4E-0B4F1B66A9A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BFE-4060-9D4E-0B4F1B66A9A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BFE-4060-9D4E-0B4F1B66A9A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2-703E-4728-B543-4D1E34453504}"/>
              </c:ext>
            </c:extLst>
          </c:dPt>
          <c:dLbls>
            <c:dLbl>
              <c:idx val="9"/>
              <c:tx>
                <c:rich>
                  <a:bodyPr/>
                  <a:lstStyle/>
                  <a:p>
                    <a:fld id="{5264F972-DE5E-4FAD-89C1-A8AF146FDD2A}" type="CELLREF">
                      <a:rPr lang="en-US"/>
                      <a:pPr/>
                      <a:t>[]</a:t>
                    </a:fld>
                    <a:r>
                      <a:rPr lang="en-US" baseline="0"/>
                      <a:t>, </a:t>
                    </a:r>
                    <a:fld id="{A6895D20-60A8-4555-9D89-ED7F0D973F32}" type="VALUE">
                      <a:rPr lang="en-US" baseline="0"/>
                      <a:pPr/>
                      <a:t>[]</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dlblFTEntry>
                      <c15:txfldGUID>{5264F972-DE5E-4FAD-89C1-A8AF146FDD2A}</c15:txfldGUID>
                      <c15:f>Sheet2!$B$11:$C$11</c15:f>
                      <c15:dlblFieldTableCache>
                        <c:ptCount val="2"/>
                        <c:pt idx="0">
                          <c:v>Food</c:v>
                        </c:pt>
                      </c15:dlblFieldTableCache>
                    </c15:dlblFTEntry>
                  </c15:dlblFieldTable>
                  <c15:showDataLabelsRange val="0"/>
                </c:ext>
                <c:ext xmlns:c16="http://schemas.microsoft.com/office/drawing/2014/chart" uri="{C3380CC4-5D6E-409C-BE32-E72D297353CC}">
                  <c16:uniqueId val="{00000002-703E-4728-B543-4D1E34453504}"/>
                </c:ext>
              </c:extLst>
            </c:dLbl>
            <c:dLbl>
              <c:idx val="10"/>
              <c:delete val="1"/>
              <c:extLst>
                <c:ext xmlns:c15="http://schemas.microsoft.com/office/drawing/2012/chart" uri="{CE6537A1-D6FC-4f65-9D91-7224C49458BB}"/>
                <c:ext xmlns:c16="http://schemas.microsoft.com/office/drawing/2014/chart" uri="{C3380CC4-5D6E-409C-BE32-E72D297353CC}">
                  <c16:uniqueId val="{00000001-703E-4728-B543-4D1E344535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Sheet2!$B$2:$B$10</c:f>
              <c:strCache>
                <c:ptCount val="9"/>
                <c:pt idx="0">
                  <c:v>Animal Feed</c:v>
                </c:pt>
                <c:pt idx="1">
                  <c:v>Ethanol Fuel</c:v>
                </c:pt>
                <c:pt idx="2">
                  <c:v>Exports</c:v>
                </c:pt>
                <c:pt idx="3">
                  <c:v>High Fructose Corn Syrup</c:v>
                </c:pt>
                <c:pt idx="4">
                  <c:v>Glucose &amp; Dextrose</c:v>
                </c:pt>
                <c:pt idx="5">
                  <c:v>Starch</c:v>
                </c:pt>
                <c:pt idx="6">
                  <c:v>Cereal/Other</c:v>
                </c:pt>
                <c:pt idx="7">
                  <c:v>Beverage</c:v>
                </c:pt>
                <c:pt idx="8">
                  <c:v>Other</c:v>
                </c:pt>
              </c:strCache>
            </c:strRef>
          </c:cat>
          <c:val>
            <c:numRef>
              <c:f>Sheet2!$C$2:$C$10</c:f>
              <c:numCache>
                <c:formatCode>General</c:formatCode>
                <c:ptCount val="9"/>
                <c:pt idx="0">
                  <c:v>45.2</c:v>
                </c:pt>
                <c:pt idx="1">
                  <c:v>28.8</c:v>
                </c:pt>
                <c:pt idx="2">
                  <c:v>16.3</c:v>
                </c:pt>
                <c:pt idx="3">
                  <c:v>2.8</c:v>
                </c:pt>
                <c:pt idx="4">
                  <c:v>2.5</c:v>
                </c:pt>
                <c:pt idx="5">
                  <c:v>1.7</c:v>
                </c:pt>
                <c:pt idx="6">
                  <c:v>1.4</c:v>
                </c:pt>
                <c:pt idx="7">
                  <c:v>1.1000000000000001</c:v>
                </c:pt>
                <c:pt idx="8">
                  <c:v>9.9</c:v>
                </c:pt>
              </c:numCache>
            </c:numRef>
          </c:val>
          <c:extLst>
            <c:ext xmlns:c16="http://schemas.microsoft.com/office/drawing/2014/chart" uri="{C3380CC4-5D6E-409C-BE32-E72D297353CC}">
              <c16:uniqueId val="{00000000-703E-4728-B543-4D1E34453504}"/>
            </c:ext>
          </c:extLst>
        </c:ser>
        <c:dLbls>
          <c:showLegendKey val="0"/>
          <c:showVal val="0"/>
          <c:showCatName val="0"/>
          <c:showSerName val="0"/>
          <c:showPercent val="0"/>
          <c:showBubbleSize val="0"/>
          <c:showLeaderLines val="1"/>
        </c:dLbls>
        <c:gapWidth val="100"/>
        <c:splitType val="val"/>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104774</xdr:colOff>
      <xdr:row>1</xdr:row>
      <xdr:rowOff>90486</xdr:rowOff>
    </xdr:from>
    <xdr:to>
      <xdr:col>13</xdr:col>
      <xdr:colOff>581025</xdr:colOff>
      <xdr:row>22</xdr:row>
      <xdr:rowOff>0</xdr:rowOff>
    </xdr:to>
    <xdr:graphicFrame macro="">
      <xdr:nvGraphicFramePr>
        <xdr:cNvPr id="2" name="Chart 1">
          <a:extLst>
            <a:ext uri="{FF2B5EF4-FFF2-40B4-BE49-F238E27FC236}">
              <a16:creationId xmlns:a16="http://schemas.microsoft.com/office/drawing/2014/main" id="{7CB3735C-E72B-A541-D777-8A70587805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sda.gov/sites/default/files/documents/2015EnergyBalanceCornEthanol.pdf;" TargetMode="External"/><Relationship Id="rId2" Type="http://schemas.openxmlformats.org/officeDocument/2006/relationships/hyperlink" Target="https://www.nass.usda.gov/Statistics_by_State/Wisconsin/Publications/County_Estimates/2022/WI-CtyEst-Corn-02-22.pdf" TargetMode="External"/><Relationship Id="rId1" Type="http://schemas.openxmlformats.org/officeDocument/2006/relationships/hyperlink" Target="https://www.usda.gov/sites/default/files/documents/2015EnergyBalanceCornEthanol.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89B80-AAB3-45D2-82D3-0C34E3463C93}">
  <dimension ref="A1:M103"/>
  <sheetViews>
    <sheetView tabSelected="1" topLeftCell="A73" zoomScale="80" zoomScaleNormal="80" workbookViewId="0">
      <selection activeCell="F85" sqref="F85"/>
    </sheetView>
  </sheetViews>
  <sheetFormatPr defaultRowHeight="15"/>
  <cols>
    <col min="1" max="1" width="27.5703125" bestFit="1" customWidth="1"/>
    <col min="2" max="2" width="20.42578125" customWidth="1"/>
    <col min="3" max="3" width="23.42578125" customWidth="1"/>
    <col min="4" max="4" width="18.7109375" customWidth="1"/>
    <col min="5" max="5" width="27.42578125" customWidth="1"/>
    <col min="6" max="6" width="19" bestFit="1" customWidth="1"/>
    <col min="7" max="7" width="24.28515625" bestFit="1" customWidth="1"/>
    <col min="8" max="8" width="20.5703125" customWidth="1"/>
    <col min="11" max="12" width="13.85546875" bestFit="1" customWidth="1"/>
  </cols>
  <sheetData>
    <row r="1" spans="1:8" ht="50.25" customHeight="1" thickBot="1">
      <c r="A1" s="48" t="s">
        <v>0</v>
      </c>
      <c r="B1" s="48"/>
      <c r="C1" s="48"/>
      <c r="D1" s="48"/>
      <c r="E1" s="48"/>
      <c r="F1" s="48"/>
      <c r="G1" s="48"/>
      <c r="H1" s="48"/>
    </row>
    <row r="2" spans="1:8">
      <c r="A2" s="6"/>
      <c r="B2" t="s">
        <v>1</v>
      </c>
      <c r="C2" t="s">
        <v>2</v>
      </c>
      <c r="D2" t="s">
        <v>3</v>
      </c>
      <c r="E2" t="s">
        <v>4</v>
      </c>
      <c r="F2" t="s">
        <v>5</v>
      </c>
      <c r="G2" t="s">
        <v>6</v>
      </c>
      <c r="H2" s="7" t="s">
        <v>7</v>
      </c>
    </row>
    <row r="3" spans="1:8">
      <c r="A3" s="6" t="s">
        <v>8</v>
      </c>
      <c r="B3">
        <f>64.8/(4.46*3.6*0.09*0.684*365)</f>
        <v>0.17961647571639128</v>
      </c>
      <c r="C3">
        <f>B3*1.60934*0.000247105</f>
        <v>7.1429154538064132E-5</v>
      </c>
      <c r="D3">
        <f>C3/100</f>
        <v>7.1429154538064127E-7</v>
      </c>
      <c r="E3" s="8">
        <f>1000000/D3</f>
        <v>1399988571147.2429</v>
      </c>
      <c r="F3" s="8">
        <f>1/D3</f>
        <v>1399988.571147243</v>
      </c>
      <c r="G3" s="1">
        <f>F3*0.6</f>
        <v>839993.14268834575</v>
      </c>
      <c r="H3" s="7" t="s">
        <v>9</v>
      </c>
    </row>
    <row r="4" spans="1:8">
      <c r="A4" s="6" t="s">
        <v>10</v>
      </c>
      <c r="B4">
        <f>64.8/(4.46*3.6*0.14*0.684*365)</f>
        <v>0.11546773438910869</v>
      </c>
      <c r="C4">
        <f t="shared" ref="C4:C12" si="0">B4*1.60934*0.000247105</f>
        <v>4.5918742203041231E-5</v>
      </c>
      <c r="D4">
        <f t="shared" ref="D4:D12" si="1">C4/100</f>
        <v>4.5918742203041228E-7</v>
      </c>
      <c r="E4" s="8">
        <f t="shared" ref="E4:E12" si="2">1000000/D4</f>
        <v>2177759999562.3777</v>
      </c>
      <c r="F4" s="8">
        <f t="shared" ref="F4:F12" si="3">1/D4</f>
        <v>2177759.9995623776</v>
      </c>
      <c r="G4" s="1">
        <f t="shared" ref="G4:G6" si="4">F4*0.6</f>
        <v>1306655.9997374264</v>
      </c>
      <c r="H4" s="7" t="s">
        <v>11</v>
      </c>
    </row>
    <row r="5" spans="1:8">
      <c r="A5" s="6" t="s">
        <v>12</v>
      </c>
      <c r="B5">
        <f>64.8/(4.46*3.6*0.18*0.684*365)</f>
        <v>8.9808237858195639E-2</v>
      </c>
      <c r="C5">
        <f t="shared" si="0"/>
        <v>3.5714577269032066E-5</v>
      </c>
      <c r="D5">
        <f t="shared" si="1"/>
        <v>3.5714577269032064E-7</v>
      </c>
      <c r="E5" s="8">
        <f t="shared" si="2"/>
        <v>2799977142294.4858</v>
      </c>
      <c r="F5" s="8">
        <f t="shared" si="3"/>
        <v>2799977.1422944861</v>
      </c>
      <c r="G5" s="1">
        <f t="shared" si="4"/>
        <v>1679986.2853766915</v>
      </c>
      <c r="H5" s="7" t="s">
        <v>13</v>
      </c>
    </row>
    <row r="6" spans="1:8">
      <c r="A6" s="6" t="s">
        <v>14</v>
      </c>
      <c r="B6">
        <f t="shared" ref="B6" si="5">64.8/(4.46*3.6*0.2*0.684*365)</f>
        <v>8.0827414072376078E-2</v>
      </c>
      <c r="C6">
        <f t="shared" si="0"/>
        <v>3.2143119542128855E-5</v>
      </c>
      <c r="D6">
        <f t="shared" si="1"/>
        <v>3.2143119542128855E-7</v>
      </c>
      <c r="E6" s="8">
        <f t="shared" si="2"/>
        <v>3111085713660.54</v>
      </c>
      <c r="F6" s="8">
        <f t="shared" si="3"/>
        <v>3111085.7136605401</v>
      </c>
      <c r="G6" s="1">
        <f t="shared" si="4"/>
        <v>1866651.428196324</v>
      </c>
      <c r="H6" s="7" t="s">
        <v>15</v>
      </c>
    </row>
    <row r="7" spans="1:8">
      <c r="A7" s="6" t="s">
        <v>16</v>
      </c>
      <c r="B7">
        <f>(10000*2.5253*255)/(11322*21.2)</f>
        <v>26.828361380248172</v>
      </c>
      <c r="C7">
        <f t="shared" si="0"/>
        <v>1.066899438589697E-2</v>
      </c>
      <c r="D7">
        <f t="shared" si="1"/>
        <v>1.066899438589697E-4</v>
      </c>
      <c r="E7" s="8">
        <f t="shared" si="2"/>
        <v>9372954599.3750877</v>
      </c>
      <c r="F7" s="8">
        <f t="shared" si="3"/>
        <v>9372.9545993750889</v>
      </c>
      <c r="H7" s="7" t="s">
        <v>17</v>
      </c>
    </row>
    <row r="8" spans="1:8">
      <c r="A8" s="6" t="s">
        <v>18</v>
      </c>
      <c r="B8">
        <f>(10000*2.5253*255)/(13209*21.2)</f>
        <v>22.995738325927007</v>
      </c>
      <c r="C8">
        <f t="shared" si="0"/>
        <v>9.1448523307688327E-3</v>
      </c>
      <c r="D8">
        <f t="shared" si="1"/>
        <v>9.144852330768833E-5</v>
      </c>
      <c r="E8" s="8">
        <f t="shared" si="2"/>
        <v>10935113699.270935</v>
      </c>
      <c r="F8" s="8">
        <f t="shared" si="3"/>
        <v>10935.113699270934</v>
      </c>
      <c r="G8" s="1"/>
      <c r="H8" s="7" t="s">
        <v>19</v>
      </c>
    </row>
    <row r="9" spans="1:8">
      <c r="A9" s="6" t="s">
        <v>20</v>
      </c>
      <c r="B9">
        <f>(10000*2.6195*255)/(13460*21.2)</f>
        <v>23.408719756651433</v>
      </c>
      <c r="C9">
        <f t="shared" si="0"/>
        <v>9.3090851179834302E-3</v>
      </c>
      <c r="D9">
        <f t="shared" si="1"/>
        <v>9.3090851179834303E-5</v>
      </c>
      <c r="E9" s="8">
        <f t="shared" si="2"/>
        <v>10742194182.629021</v>
      </c>
      <c r="F9" s="8">
        <f t="shared" si="3"/>
        <v>10742.19418262902</v>
      </c>
      <c r="H9" s="7"/>
    </row>
    <row r="10" spans="1:8">
      <c r="A10" s="6" t="s">
        <v>21</v>
      </c>
      <c r="B10">
        <f>(10000*64.8)/(11322*18*0.32*0.92)</f>
        <v>10.800442386120135</v>
      </c>
      <c r="C10">
        <f t="shared" si="0"/>
        <v>4.295076301885325E-3</v>
      </c>
      <c r="D10">
        <f t="shared" si="1"/>
        <v>4.2950763018853247E-5</v>
      </c>
      <c r="E10" s="8">
        <f t="shared" si="2"/>
        <v>23282473458.295719</v>
      </c>
      <c r="F10" s="8">
        <f t="shared" si="3"/>
        <v>23282.473458295717</v>
      </c>
      <c r="H10" s="7" t="s">
        <v>17</v>
      </c>
    </row>
    <row r="11" spans="1:8">
      <c r="A11" s="6" t="s">
        <v>22</v>
      </c>
      <c r="B11">
        <f>(10000*64.8)/(13209*18*0.32*0.92)</f>
        <v>9.25752204524583</v>
      </c>
      <c r="C11">
        <f t="shared" si="0"/>
        <v>3.6814939730445647E-3</v>
      </c>
      <c r="D11">
        <f t="shared" si="1"/>
        <v>3.6814939730445644E-5</v>
      </c>
      <c r="E11" s="8">
        <f t="shared" si="2"/>
        <v>27162885701.345001</v>
      </c>
      <c r="F11" s="8">
        <f t="shared" si="3"/>
        <v>27162.885701345003</v>
      </c>
      <c r="H11" s="7" t="s">
        <v>19</v>
      </c>
    </row>
    <row r="12" spans="1:8" ht="15.75" thickBot="1">
      <c r="A12" s="9" t="s">
        <v>23</v>
      </c>
      <c r="B12" s="10">
        <f>(10000*64.8)/(13460*18*0.32*0.92)</f>
        <v>9.084889204728988</v>
      </c>
      <c r="C12" s="10">
        <f t="shared" si="0"/>
        <v>3.6128420423436596E-3</v>
      </c>
      <c r="D12" s="10">
        <f t="shared" si="1"/>
        <v>3.6128420423436594E-5</v>
      </c>
      <c r="E12" s="11">
        <f t="shared" si="2"/>
        <v>27679040165.046837</v>
      </c>
      <c r="F12" s="11">
        <f t="shared" si="3"/>
        <v>27679.040165046838</v>
      </c>
      <c r="G12" s="10"/>
      <c r="H12" s="12"/>
    </row>
    <row r="13" spans="1:8">
      <c r="E13" s="8"/>
      <c r="F13" s="8"/>
    </row>
    <row r="14" spans="1:8" ht="38.25" customHeight="1" thickBot="1">
      <c r="A14" s="48" t="s">
        <v>24</v>
      </c>
      <c r="B14" s="48"/>
      <c r="C14" s="48"/>
      <c r="D14" s="48"/>
      <c r="E14" s="48"/>
    </row>
    <row r="15" spans="1:8" ht="28.5" customHeight="1">
      <c r="A15" s="13" t="s">
        <v>25</v>
      </c>
      <c r="B15" s="3" t="s">
        <v>26</v>
      </c>
      <c r="C15" s="3" t="s">
        <v>27</v>
      </c>
      <c r="D15" s="3" t="s">
        <v>28</v>
      </c>
      <c r="E15" s="14" t="s">
        <v>7</v>
      </c>
    </row>
    <row r="16" spans="1:8">
      <c r="A16" s="6" t="s">
        <v>29</v>
      </c>
      <c r="B16" s="2">
        <v>839993</v>
      </c>
      <c r="C16">
        <v>9373</v>
      </c>
      <c r="D16" s="15">
        <f>B16/C16</f>
        <v>89.618371919342792</v>
      </c>
      <c r="E16" s="7" t="s">
        <v>30</v>
      </c>
      <c r="G16" s="1"/>
    </row>
    <row r="17" spans="1:7">
      <c r="A17" s="6" t="s">
        <v>31</v>
      </c>
      <c r="B17" s="2">
        <v>505858</v>
      </c>
      <c r="C17">
        <v>8094</v>
      </c>
      <c r="D17" s="15">
        <f t="shared" ref="D17:D22" si="6">B17/C17</f>
        <v>62.497899678774402</v>
      </c>
      <c r="E17" s="7" t="s">
        <v>30</v>
      </c>
    </row>
    <row r="18" spans="1:7">
      <c r="A18" s="6" t="s">
        <v>32</v>
      </c>
      <c r="B18" s="2">
        <v>710250</v>
      </c>
      <c r="C18">
        <v>9691</v>
      </c>
      <c r="D18" s="15">
        <f t="shared" si="6"/>
        <v>73.289650190898769</v>
      </c>
      <c r="E18" s="7"/>
      <c r="G18" s="1"/>
    </row>
    <row r="19" spans="1:7">
      <c r="A19" s="6" t="s">
        <v>33</v>
      </c>
      <c r="B19" s="2">
        <v>900000</v>
      </c>
      <c r="C19">
        <v>12382</v>
      </c>
      <c r="D19" s="15">
        <f t="shared" si="6"/>
        <v>72.686157325149409</v>
      </c>
      <c r="E19" s="7"/>
    </row>
    <row r="20" spans="1:7">
      <c r="A20" s="6" t="s">
        <v>34</v>
      </c>
      <c r="B20" s="2">
        <v>1300000</v>
      </c>
      <c r="C20">
        <v>6600</v>
      </c>
      <c r="D20" s="15">
        <f t="shared" si="6"/>
        <v>196.96969696969697</v>
      </c>
      <c r="E20" s="7"/>
    </row>
    <row r="21" spans="1:7">
      <c r="A21" s="6" t="s">
        <v>35</v>
      </c>
      <c r="B21" s="2">
        <v>654000</v>
      </c>
      <c r="D21" s="15"/>
      <c r="E21" s="7" t="s">
        <v>36</v>
      </c>
    </row>
    <row r="22" spans="1:7">
      <c r="A22" s="6" t="s">
        <v>37</v>
      </c>
      <c r="B22" s="2">
        <v>715000</v>
      </c>
      <c r="C22">
        <v>11000</v>
      </c>
      <c r="D22" s="15">
        <f t="shared" si="6"/>
        <v>65</v>
      </c>
      <c r="E22" s="7"/>
    </row>
    <row r="23" spans="1:7" ht="15.75" thickBot="1">
      <c r="A23" s="16" t="s">
        <v>38</v>
      </c>
      <c r="B23" s="17">
        <f>AVERAGE(B16:B22)</f>
        <v>803585.85714285716</v>
      </c>
      <c r="C23" s="46">
        <f>AVERAGE(C16:C22)</f>
        <v>9523.3333333333339</v>
      </c>
      <c r="D23" s="18">
        <f>B23/C23</f>
        <v>84.380734036701838</v>
      </c>
      <c r="E23" s="12"/>
    </row>
    <row r="24" spans="1:7">
      <c r="A24" s="3"/>
      <c r="B24" s="22"/>
      <c r="C24" s="3"/>
      <c r="D24" s="23"/>
    </row>
    <row r="25" spans="1:7" ht="31.5" customHeight="1" thickBot="1">
      <c r="A25" s="50" t="s">
        <v>39</v>
      </c>
      <c r="B25" s="50"/>
      <c r="C25" s="50"/>
      <c r="D25" s="23"/>
    </row>
    <row r="26" spans="1:7">
      <c r="A26" s="26"/>
      <c r="B26" s="27" t="s">
        <v>40</v>
      </c>
      <c r="C26" s="27" t="s">
        <v>41</v>
      </c>
      <c r="D26" s="40" t="s">
        <v>7</v>
      </c>
    </row>
    <row r="27" spans="1:7">
      <c r="A27" s="13" t="s">
        <v>42</v>
      </c>
      <c r="B27" s="8">
        <f>B23*1000000</f>
        <v>803585857142.85718</v>
      </c>
      <c r="C27" s="8">
        <f>C23*1000000</f>
        <v>9523333333.333334</v>
      </c>
      <c r="D27" s="41"/>
    </row>
    <row r="28" spans="1:7" ht="15.75" thickBot="1">
      <c r="A28" s="16" t="s">
        <v>43</v>
      </c>
      <c r="B28" s="11">
        <f>B27/13476</f>
        <v>59630888.775813088</v>
      </c>
      <c r="C28" s="11">
        <f>C27/13476</f>
        <v>706688.43375878106</v>
      </c>
      <c r="D28" s="42" t="s">
        <v>44</v>
      </c>
    </row>
    <row r="29" spans="1:7">
      <c r="A29" s="3"/>
      <c r="B29" s="22"/>
      <c r="C29" s="3"/>
      <c r="D29" s="23"/>
      <c r="F29" s="1"/>
    </row>
    <row r="30" spans="1:7" ht="31.5" customHeight="1" thickBot="1">
      <c r="A30" s="49" t="s">
        <v>45</v>
      </c>
      <c r="B30" s="49"/>
      <c r="C30" s="49"/>
      <c r="D30" s="49"/>
      <c r="E30" s="49"/>
    </row>
    <row r="31" spans="1:7">
      <c r="A31" s="34"/>
      <c r="B31" s="43" t="s">
        <v>40</v>
      </c>
      <c r="C31" s="35" t="s">
        <v>46</v>
      </c>
      <c r="D31" s="44" t="s">
        <v>28</v>
      </c>
      <c r="E31" s="45" t="s">
        <v>7</v>
      </c>
    </row>
    <row r="32" spans="1:7">
      <c r="A32" s="13" t="s">
        <v>47</v>
      </c>
      <c r="B32" s="2">
        <f>B23*1000000</f>
        <v>803585857142.85718</v>
      </c>
      <c r="C32" s="1">
        <f>F10*1000000</f>
        <v>23282473458.295715</v>
      </c>
      <c r="D32" s="15">
        <f>B32/C32</f>
        <v>34.514625715444922</v>
      </c>
      <c r="E32" s="7" t="s">
        <v>48</v>
      </c>
    </row>
    <row r="33" spans="1:7">
      <c r="A33" s="13" t="s">
        <v>49</v>
      </c>
      <c r="B33" s="2">
        <f>B23*1000000</f>
        <v>803585857142.85718</v>
      </c>
      <c r="C33" s="1">
        <f>F11*1000000</f>
        <v>27162885701.345005</v>
      </c>
      <c r="D33" s="15">
        <f>B33/C33</f>
        <v>29.583964898952786</v>
      </c>
      <c r="E33" s="7" t="s">
        <v>50</v>
      </c>
    </row>
    <row r="34" spans="1:7">
      <c r="A34" s="13" t="s">
        <v>51</v>
      </c>
      <c r="B34" s="2">
        <f>B32/13476</f>
        <v>59630888.775813088</v>
      </c>
      <c r="C34" s="2">
        <f>C32/13476</f>
        <v>1727699.1286951406</v>
      </c>
      <c r="D34" s="15"/>
      <c r="E34" s="7" t="s">
        <v>44</v>
      </c>
    </row>
    <row r="35" spans="1:7" ht="15.75" thickBot="1">
      <c r="A35" s="16" t="s">
        <v>52</v>
      </c>
      <c r="B35" s="24">
        <f>B33/13476</f>
        <v>59630888.775813088</v>
      </c>
      <c r="C35" s="24">
        <f>C33/13476</f>
        <v>2015648.9834776644</v>
      </c>
      <c r="D35" s="25"/>
      <c r="E35" s="12" t="s">
        <v>44</v>
      </c>
    </row>
    <row r="37" spans="1:7" ht="21.75" customHeight="1" thickBot="1">
      <c r="A37" s="51" t="s">
        <v>53</v>
      </c>
      <c r="B37" s="51"/>
      <c r="C37" s="51"/>
      <c r="D37" s="51"/>
      <c r="E37" s="51"/>
    </row>
    <row r="38" spans="1:7">
      <c r="A38" s="13" t="s">
        <v>54</v>
      </c>
      <c r="C38" s="3" t="s">
        <v>55</v>
      </c>
      <c r="D38" s="3" t="s">
        <v>56</v>
      </c>
      <c r="E38" s="14" t="s">
        <v>25</v>
      </c>
      <c r="G38" s="1"/>
    </row>
    <row r="39" spans="1:7">
      <c r="A39" s="6">
        <v>180</v>
      </c>
      <c r="B39" t="s">
        <v>57</v>
      </c>
      <c r="C39">
        <v>210</v>
      </c>
      <c r="D39" t="s">
        <v>57</v>
      </c>
      <c r="E39" s="21" t="s">
        <v>58</v>
      </c>
      <c r="F39" s="1"/>
    </row>
    <row r="40" spans="1:7">
      <c r="A40" s="6">
        <v>56</v>
      </c>
      <c r="B40" t="s">
        <v>59</v>
      </c>
      <c r="C40">
        <v>56</v>
      </c>
      <c r="D40" t="s">
        <v>59</v>
      </c>
      <c r="E40" s="7" t="s">
        <v>60</v>
      </c>
    </row>
    <row r="41" spans="1:7">
      <c r="A41" s="6">
        <v>1550</v>
      </c>
      <c r="B41" t="s">
        <v>61</v>
      </c>
      <c r="C41">
        <v>1550</v>
      </c>
      <c r="D41" t="s">
        <v>61</v>
      </c>
      <c r="E41" s="7" t="s">
        <v>62</v>
      </c>
    </row>
    <row r="42" spans="1:7">
      <c r="A42" s="6">
        <v>4.1840000000000002</v>
      </c>
      <c r="B42" t="s">
        <v>63</v>
      </c>
      <c r="C42">
        <v>4.1840000000000002</v>
      </c>
      <c r="D42" t="s">
        <v>63</v>
      </c>
      <c r="E42" s="7"/>
    </row>
    <row r="43" spans="1:7">
      <c r="A43" s="6">
        <v>1000</v>
      </c>
      <c r="B43" t="s">
        <v>64</v>
      </c>
      <c r="C43">
        <v>1000</v>
      </c>
      <c r="D43" t="s">
        <v>64</v>
      </c>
      <c r="E43" s="7"/>
    </row>
    <row r="44" spans="1:7">
      <c r="A44" s="19">
        <f>(A39*A40*A41*A42)/A43</f>
        <v>65370.815999999999</v>
      </c>
      <c r="B44" t="s">
        <v>65</v>
      </c>
      <c r="C44" s="8">
        <f>(C39*C40*C41*C42)/C43</f>
        <v>76265.952000000005</v>
      </c>
      <c r="D44" t="s">
        <v>65</v>
      </c>
      <c r="E44" s="7"/>
    </row>
    <row r="45" spans="1:7">
      <c r="A45" s="13" t="s">
        <v>66</v>
      </c>
      <c r="B45" s="3"/>
      <c r="C45" s="3" t="s">
        <v>67</v>
      </c>
      <c r="E45" s="7"/>
    </row>
    <row r="46" spans="1:7">
      <c r="A46" s="6">
        <v>300</v>
      </c>
      <c r="B46" t="s">
        <v>68</v>
      </c>
      <c r="C46">
        <v>325</v>
      </c>
      <c r="D46" t="s">
        <v>68</v>
      </c>
      <c r="E46" s="7" t="s">
        <v>69</v>
      </c>
      <c r="G46" s="1"/>
    </row>
    <row r="47" spans="1:7">
      <c r="A47" s="6">
        <v>3600</v>
      </c>
      <c r="B47" t="s">
        <v>70</v>
      </c>
      <c r="C47">
        <v>3600</v>
      </c>
      <c r="D47" t="s">
        <v>70</v>
      </c>
      <c r="E47" s="7"/>
      <c r="F47" s="1"/>
      <c r="G47" s="1"/>
    </row>
    <row r="48" spans="1:7">
      <c r="A48" s="19">
        <f>A46*A47</f>
        <v>1080000</v>
      </c>
      <c r="B48" t="s">
        <v>71</v>
      </c>
      <c r="C48" s="8">
        <f>C46*C47</f>
        <v>1170000</v>
      </c>
      <c r="D48" t="s">
        <v>71</v>
      </c>
      <c r="E48" s="7"/>
      <c r="F48" s="1"/>
    </row>
    <row r="49" spans="1:9">
      <c r="A49" s="6"/>
      <c r="E49" s="7"/>
      <c r="G49" s="1"/>
    </row>
    <row r="50" spans="1:9">
      <c r="A50" s="6"/>
      <c r="C50" s="30">
        <f>A48/C44</f>
        <v>14.16097185805797</v>
      </c>
      <c r="D50" t="s">
        <v>72</v>
      </c>
      <c r="E50" s="7"/>
      <c r="G50" s="1"/>
    </row>
    <row r="51" spans="1:9">
      <c r="A51" s="6"/>
      <c r="C51" s="30">
        <f>C48/A44</f>
        <v>17.897894987267712</v>
      </c>
      <c r="D51" t="s">
        <v>73</v>
      </c>
      <c r="E51" s="7"/>
      <c r="F51" s="1"/>
      <c r="G51" s="1"/>
      <c r="H51" s="1"/>
    </row>
    <row r="52" spans="1:9" ht="15.75" thickBot="1">
      <c r="A52" s="9"/>
      <c r="B52" s="10"/>
      <c r="C52" s="32">
        <f>AVERAGE(C50:C51)</f>
        <v>16.029433422662841</v>
      </c>
      <c r="D52" s="10" t="s">
        <v>74</v>
      </c>
      <c r="E52" s="12"/>
      <c r="F52" s="1"/>
    </row>
    <row r="53" spans="1:9">
      <c r="C53" s="28"/>
      <c r="F53" s="1"/>
    </row>
    <row r="54" spans="1:9" ht="15.75" thickBot="1">
      <c r="A54" s="47" t="s">
        <v>75</v>
      </c>
      <c r="B54" s="47"/>
      <c r="C54" s="47"/>
      <c r="D54" s="47"/>
      <c r="E54" s="47"/>
      <c r="I54" s="1"/>
    </row>
    <row r="55" spans="1:9">
      <c r="A55" s="13" t="s">
        <v>76</v>
      </c>
      <c r="B55" s="3"/>
      <c r="C55" s="3" t="s">
        <v>77</v>
      </c>
      <c r="E55" s="7"/>
    </row>
    <row r="56" spans="1:9">
      <c r="A56" s="6">
        <v>2.8</v>
      </c>
      <c r="B56" t="s">
        <v>78</v>
      </c>
      <c r="C56">
        <v>2.8</v>
      </c>
      <c r="D56" t="s">
        <v>78</v>
      </c>
      <c r="E56" s="7" t="s">
        <v>79</v>
      </c>
    </row>
    <row r="57" spans="1:9">
      <c r="A57" s="6">
        <f>A56*A39</f>
        <v>503.99999999999994</v>
      </c>
      <c r="B57" t="s">
        <v>80</v>
      </c>
      <c r="C57">
        <f>C56*C39</f>
        <v>588</v>
      </c>
      <c r="D57" t="s">
        <v>80</v>
      </c>
      <c r="E57" s="20"/>
    </row>
    <row r="58" spans="1:9">
      <c r="A58" s="6">
        <v>76300</v>
      </c>
      <c r="B58" t="s">
        <v>81</v>
      </c>
      <c r="C58">
        <v>76300</v>
      </c>
      <c r="D58" t="s">
        <v>81</v>
      </c>
      <c r="E58" s="21" t="s">
        <v>82</v>
      </c>
    </row>
    <row r="59" spans="1:9">
      <c r="A59" s="6">
        <f>A57*A58</f>
        <v>38455199.999999993</v>
      </c>
      <c r="B59" t="s">
        <v>83</v>
      </c>
      <c r="C59">
        <f>C57*C58</f>
        <v>44864400</v>
      </c>
      <c r="D59" t="s">
        <v>83</v>
      </c>
      <c r="E59" s="7"/>
    </row>
    <row r="60" spans="1:9">
      <c r="A60" s="6">
        <v>3412000</v>
      </c>
      <c r="B60" t="s">
        <v>84</v>
      </c>
      <c r="C60">
        <v>3412000</v>
      </c>
      <c r="D60" t="s">
        <v>84</v>
      </c>
      <c r="E60" s="7" t="s">
        <v>85</v>
      </c>
    </row>
    <row r="61" spans="1:9">
      <c r="A61" s="6">
        <f>A59/A60</f>
        <v>11.27057444314185</v>
      </c>
      <c r="B61" t="s">
        <v>86</v>
      </c>
      <c r="C61">
        <f>C59/C60</f>
        <v>13.149003516998828</v>
      </c>
      <c r="D61" t="s">
        <v>86</v>
      </c>
      <c r="E61" s="7"/>
    </row>
    <row r="62" spans="1:9">
      <c r="A62" s="6">
        <f>A61*3600</f>
        <v>40574.067995310659</v>
      </c>
      <c r="B62" t="s">
        <v>87</v>
      </c>
      <c r="C62">
        <f>C61*3600</f>
        <v>47336.412661195784</v>
      </c>
      <c r="D62" t="s">
        <v>87</v>
      </c>
      <c r="E62" s="20"/>
    </row>
    <row r="63" spans="1:9">
      <c r="A63" s="6"/>
      <c r="E63" s="7"/>
    </row>
    <row r="64" spans="1:9">
      <c r="A64" s="6"/>
      <c r="C64" s="5">
        <f>A48/C62</f>
        <v>22.815417123599111</v>
      </c>
      <c r="D64" t="s">
        <v>88</v>
      </c>
      <c r="E64" s="7"/>
      <c r="G64" s="1"/>
    </row>
    <row r="65" spans="1:9">
      <c r="A65" s="6"/>
      <c r="C65" s="5">
        <f>C48/A62</f>
        <v>28.836152197882218</v>
      </c>
      <c r="D65" t="s">
        <v>89</v>
      </c>
      <c r="E65" s="7"/>
      <c r="G65" s="33"/>
      <c r="H65" s="5"/>
    </row>
    <row r="66" spans="1:9" ht="15.75" thickBot="1">
      <c r="A66" s="9"/>
      <c r="B66" s="10"/>
      <c r="C66" s="31">
        <f>AVERAGE(C64:C65)</f>
        <v>25.825784660740666</v>
      </c>
      <c r="D66" s="10" t="s">
        <v>90</v>
      </c>
      <c r="E66" s="12"/>
      <c r="F66" s="4"/>
      <c r="G66" s="5"/>
      <c r="H66" s="5"/>
    </row>
    <row r="67" spans="1:9" ht="15.75" customHeight="1">
      <c r="C67" s="5"/>
      <c r="F67" s="4"/>
      <c r="G67" s="5"/>
      <c r="H67" s="5"/>
    </row>
    <row r="68" spans="1:9" ht="15.75" thickBot="1">
      <c r="A68" s="47" t="s">
        <v>91</v>
      </c>
      <c r="B68" s="47"/>
      <c r="C68" s="47"/>
      <c r="D68" s="47"/>
      <c r="F68" s="5"/>
      <c r="H68" s="5"/>
    </row>
    <row r="69" spans="1:9">
      <c r="A69" s="13" t="s">
        <v>76</v>
      </c>
      <c r="B69" s="3"/>
      <c r="C69" s="3" t="s">
        <v>77</v>
      </c>
      <c r="D69" s="14" t="s">
        <v>7</v>
      </c>
      <c r="H69" s="5"/>
    </row>
    <row r="70" spans="1:9">
      <c r="A70" s="29">
        <f>A62*0.2</f>
        <v>8114.8135990621322</v>
      </c>
      <c r="B70" t="s">
        <v>92</v>
      </c>
      <c r="C70" s="30">
        <f>C62*0.2</f>
        <v>9467.2825322391564</v>
      </c>
      <c r="D70" s="7" t="s">
        <v>93</v>
      </c>
      <c r="G70" s="4"/>
      <c r="H70" s="5"/>
    </row>
    <row r="71" spans="1:9">
      <c r="A71" s="29">
        <f>A48*0.875</f>
        <v>945000</v>
      </c>
      <c r="B71" t="s">
        <v>94</v>
      </c>
      <c r="C71" s="30">
        <f>C48*0.875</f>
        <v>1023750</v>
      </c>
      <c r="D71" s="7" t="s">
        <v>95</v>
      </c>
      <c r="F71" s="4"/>
      <c r="G71" s="4"/>
      <c r="H71" s="5"/>
    </row>
    <row r="72" spans="1:9">
      <c r="A72" s="6"/>
      <c r="D72" s="7"/>
      <c r="F72" s="4"/>
    </row>
    <row r="73" spans="1:9">
      <c r="A73" s="6"/>
      <c r="C73" s="5">
        <f>A71/C70</f>
        <v>99.81744991574611</v>
      </c>
      <c r="D73" t="s">
        <v>88</v>
      </c>
    </row>
    <row r="74" spans="1:9">
      <c r="A74" s="6"/>
      <c r="C74" s="5">
        <f>C71/A70</f>
        <v>126.1581658657347</v>
      </c>
      <c r="D74" t="s">
        <v>89</v>
      </c>
    </row>
    <row r="75" spans="1:9" ht="15.75" thickBot="1">
      <c r="A75" s="9"/>
      <c r="B75" s="10"/>
      <c r="C75" s="31">
        <f>AVERAGE(C73:C74)</f>
        <v>112.98780789074041</v>
      </c>
      <c r="D75" s="10" t="s">
        <v>90</v>
      </c>
    </row>
    <row r="77" spans="1:9" ht="15.75" thickBot="1">
      <c r="A77" s="47" t="s">
        <v>96</v>
      </c>
      <c r="B77" s="47"/>
      <c r="C77" s="47"/>
      <c r="D77" s="47"/>
      <c r="E77" s="47"/>
      <c r="I77" s="1"/>
    </row>
    <row r="78" spans="1:9">
      <c r="A78" s="34" t="s">
        <v>76</v>
      </c>
      <c r="B78" s="35"/>
      <c r="C78" s="35" t="s">
        <v>77</v>
      </c>
      <c r="D78" s="36"/>
      <c r="E78" s="37"/>
    </row>
    <row r="79" spans="1:9">
      <c r="A79" s="6">
        <v>17</v>
      </c>
      <c r="B79" t="s">
        <v>97</v>
      </c>
      <c r="C79">
        <v>17</v>
      </c>
      <c r="D79" t="s">
        <v>97</v>
      </c>
      <c r="E79" s="7" t="s">
        <v>98</v>
      </c>
    </row>
    <row r="80" spans="1:9">
      <c r="A80" s="6">
        <f>A79*A39</f>
        <v>3060</v>
      </c>
      <c r="B80" t="s">
        <v>99</v>
      </c>
      <c r="C80">
        <f>C79*C39</f>
        <v>3570</v>
      </c>
      <c r="D80" t="s">
        <v>99</v>
      </c>
      <c r="E80" s="20"/>
    </row>
    <row r="81" spans="1:13">
      <c r="A81" s="6">
        <v>5434</v>
      </c>
      <c r="B81" t="s">
        <v>100</v>
      </c>
      <c r="C81">
        <v>5434</v>
      </c>
      <c r="D81" t="s">
        <v>100</v>
      </c>
      <c r="E81" s="21" t="s">
        <v>101</v>
      </c>
    </row>
    <row r="82" spans="1:13">
      <c r="A82" s="6">
        <v>90</v>
      </c>
      <c r="B82" t="s">
        <v>102</v>
      </c>
      <c r="C82">
        <v>90</v>
      </c>
      <c r="D82" t="s">
        <v>102</v>
      </c>
      <c r="E82" s="7" t="s">
        <v>98</v>
      </c>
    </row>
    <row r="83" spans="1:13">
      <c r="A83" s="6">
        <f>(A80*(A82/100))*(1/2.205)*A81</f>
        <v>6786955.1020408161</v>
      </c>
      <c r="B83" t="s">
        <v>103</v>
      </c>
      <c r="C83">
        <f>(C80*(C82/100))*(1/2.205)*C81</f>
        <v>7918114.2857142854</v>
      </c>
      <c r="D83" t="s">
        <v>103</v>
      </c>
      <c r="E83" s="7" t="s">
        <v>85</v>
      </c>
    </row>
    <row r="84" spans="1:13">
      <c r="A84" s="6">
        <v>4.1840000000000002</v>
      </c>
      <c r="B84" t="s">
        <v>63</v>
      </c>
      <c r="C84">
        <v>4.1840000000000002</v>
      </c>
      <c r="D84" t="s">
        <v>63</v>
      </c>
      <c r="E84" s="7"/>
    </row>
    <row r="85" spans="1:13">
      <c r="A85" s="6">
        <v>1000</v>
      </c>
      <c r="B85" t="s">
        <v>104</v>
      </c>
      <c r="C85">
        <v>1000</v>
      </c>
      <c r="D85" t="s">
        <v>104</v>
      </c>
      <c r="E85" s="7"/>
      <c r="G85" s="1"/>
    </row>
    <row r="86" spans="1:13">
      <c r="A86" s="6">
        <f>(A83*A84)/A85</f>
        <v>28396.620146938774</v>
      </c>
      <c r="B86" t="s">
        <v>105</v>
      </c>
      <c r="C86">
        <f>(C83*C84)/C85</f>
        <v>33129.390171428575</v>
      </c>
      <c r="D86" t="s">
        <v>105</v>
      </c>
      <c r="E86" s="7"/>
    </row>
    <row r="87" spans="1:13">
      <c r="A87" s="6">
        <v>3</v>
      </c>
      <c r="B87" t="s">
        <v>106</v>
      </c>
      <c r="C87">
        <v>3</v>
      </c>
      <c r="D87" t="s">
        <v>106</v>
      </c>
      <c r="E87" s="7" t="s">
        <v>107</v>
      </c>
    </row>
    <row r="88" spans="1:13">
      <c r="A88" s="6">
        <v>10</v>
      </c>
      <c r="B88" t="s">
        <v>108</v>
      </c>
      <c r="C88">
        <v>10</v>
      </c>
      <c r="D88" t="s">
        <v>108</v>
      </c>
      <c r="E88" s="7" t="s">
        <v>109</v>
      </c>
    </row>
    <row r="89" spans="1:13">
      <c r="A89" s="6">
        <v>40</v>
      </c>
      <c r="B89" t="s">
        <v>110</v>
      </c>
      <c r="C89">
        <v>40</v>
      </c>
      <c r="D89" t="s">
        <v>110</v>
      </c>
      <c r="E89" s="7" t="s">
        <v>109</v>
      </c>
      <c r="K89" s="1"/>
      <c r="L89" s="1"/>
    </row>
    <row r="90" spans="1:13">
      <c r="A90" s="6">
        <f>$A$86*(A87/100)</f>
        <v>851.89860440816324</v>
      </c>
      <c r="B90" t="s">
        <v>111</v>
      </c>
      <c r="C90">
        <f>$C$86*(C87/100)</f>
        <v>993.88170514285719</v>
      </c>
      <c r="D90" t="s">
        <v>111</v>
      </c>
      <c r="E90" s="7"/>
      <c r="K90" s="1"/>
      <c r="L90" s="1"/>
      <c r="M90" s="1"/>
    </row>
    <row r="91" spans="1:13">
      <c r="A91" s="6">
        <f t="shared" ref="A91:A92" si="7">$A$86*(A88/100)</f>
        <v>2839.6620146938776</v>
      </c>
      <c r="B91" t="s">
        <v>112</v>
      </c>
      <c r="C91">
        <f>$C$86*(C88/100)</f>
        <v>3312.9390171428577</v>
      </c>
      <c r="D91" t="s">
        <v>112</v>
      </c>
      <c r="E91" s="7"/>
      <c r="K91" s="1"/>
      <c r="L91" s="1"/>
    </row>
    <row r="92" spans="1:13" ht="15.75" thickBot="1">
      <c r="A92" s="9">
        <f t="shared" si="7"/>
        <v>11358.64805877551</v>
      </c>
      <c r="B92" s="10" t="s">
        <v>113</v>
      </c>
      <c r="C92" s="10">
        <f>$C$86*(C89/100)</f>
        <v>13251.756068571431</v>
      </c>
      <c r="D92" s="10" t="s">
        <v>113</v>
      </c>
      <c r="E92" s="12"/>
    </row>
    <row r="94" spans="1:13" ht="15.75" thickBot="1">
      <c r="A94" s="47" t="s">
        <v>114</v>
      </c>
      <c r="B94" s="47"/>
      <c r="C94" s="47"/>
      <c r="D94" s="47"/>
      <c r="E94" s="47"/>
    </row>
    <row r="95" spans="1:13">
      <c r="A95" s="34" t="s">
        <v>76</v>
      </c>
      <c r="B95" s="35"/>
      <c r="C95" s="35" t="s">
        <v>77</v>
      </c>
      <c r="D95" s="37"/>
    </row>
    <row r="96" spans="1:13">
      <c r="A96" s="38">
        <f>A90+A62</f>
        <v>41425.96659971882</v>
      </c>
      <c r="B96" t="s">
        <v>115</v>
      </c>
      <c r="C96" s="1">
        <f>C90+C62</f>
        <v>48330.29436633864</v>
      </c>
      <c r="D96" s="7" t="s">
        <v>115</v>
      </c>
    </row>
    <row r="97" spans="1:8">
      <c r="A97" s="38">
        <f>A91+A62</f>
        <v>43413.73001000454</v>
      </c>
      <c r="B97" t="s">
        <v>116</v>
      </c>
      <c r="C97" s="1">
        <f>C91+C62</f>
        <v>50649.351678338644</v>
      </c>
      <c r="D97" s="7" t="s">
        <v>116</v>
      </c>
    </row>
    <row r="98" spans="1:8">
      <c r="A98" s="38">
        <f>A92+A62</f>
        <v>51932.716054086166</v>
      </c>
      <c r="B98" t="s">
        <v>117</v>
      </c>
      <c r="C98" s="1">
        <f>C92+C62</f>
        <v>60588.168729767218</v>
      </c>
      <c r="D98" s="7" t="s">
        <v>117</v>
      </c>
    </row>
    <row r="99" spans="1:8">
      <c r="A99" s="38"/>
      <c r="C99" s="1"/>
      <c r="D99" s="7"/>
    </row>
    <row r="100" spans="1:8">
      <c r="A100" s="29">
        <f>$A$48/C96</f>
        <v>22.346232609586682</v>
      </c>
      <c r="B100" t="s">
        <v>118</v>
      </c>
      <c r="C100" s="30">
        <f>$C$48/A96</f>
        <v>28.243155103783177</v>
      </c>
      <c r="D100" s="7" t="s">
        <v>119</v>
      </c>
    </row>
    <row r="101" spans="1:8">
      <c r="A101" s="29">
        <f t="shared" ref="A101:A102" si="8">$A$48/C97</f>
        <v>21.323076489879075</v>
      </c>
      <c r="B101" t="s">
        <v>120</v>
      </c>
      <c r="C101" s="30">
        <f t="shared" ref="C101:C102" si="9">$C$48/A97</f>
        <v>26.949999452486061</v>
      </c>
      <c r="D101" s="7" t="s">
        <v>121</v>
      </c>
    </row>
    <row r="102" spans="1:8" ht="15.75" thickBot="1">
      <c r="A102" s="39">
        <f t="shared" si="8"/>
        <v>17.825262301902047</v>
      </c>
      <c r="B102" s="10" t="s">
        <v>122</v>
      </c>
      <c r="C102" s="32">
        <f t="shared" si="9"/>
        <v>22.529150964903984</v>
      </c>
      <c r="D102" s="12" t="s">
        <v>123</v>
      </c>
    </row>
    <row r="103" spans="1:8">
      <c r="C103" s="1"/>
      <c r="F103" s="4"/>
      <c r="G103" s="5"/>
      <c r="H103" s="5"/>
    </row>
  </sheetData>
  <mergeCells count="9">
    <mergeCell ref="A94:E94"/>
    <mergeCell ref="A54:E54"/>
    <mergeCell ref="A68:D68"/>
    <mergeCell ref="A77:E77"/>
    <mergeCell ref="A1:H1"/>
    <mergeCell ref="A14:E14"/>
    <mergeCell ref="A30:E30"/>
    <mergeCell ref="A25:C25"/>
    <mergeCell ref="A37:E37"/>
  </mergeCells>
  <phoneticPr fontId="3" type="noConversion"/>
  <hyperlinks>
    <hyperlink ref="E58" r:id="rId1" xr:uid="{86139C68-1377-4355-846D-DD6A85B34EE1}"/>
    <hyperlink ref="E39" r:id="rId2" xr:uid="{635DA622-D971-4CD4-BC4D-F50721D6CE2F}"/>
    <hyperlink ref="E81" r:id="rId3" display="https://www.usda.gov/sites/default/files/documents/2015EnergyBalanceCornEthanol.pdf; " xr:uid="{07C2735D-ED4C-4E28-AAF3-BA6A1FFAE90E}"/>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81E7-E4CD-4F54-80D7-052FAEF55C18}">
  <dimension ref="B2:C11"/>
  <sheetViews>
    <sheetView workbookViewId="0">
      <selection activeCell="B15" sqref="B15"/>
    </sheetView>
  </sheetViews>
  <sheetFormatPr defaultRowHeight="15"/>
  <sheetData>
    <row r="2" spans="2:3">
      <c r="B2" t="s">
        <v>124</v>
      </c>
      <c r="C2">
        <v>45.2</v>
      </c>
    </row>
    <row r="3" spans="2:3">
      <c r="B3" t="s">
        <v>125</v>
      </c>
      <c r="C3">
        <v>28.8</v>
      </c>
    </row>
    <row r="4" spans="2:3">
      <c r="B4" t="s">
        <v>126</v>
      </c>
      <c r="C4">
        <v>16.3</v>
      </c>
    </row>
    <row r="5" spans="2:3">
      <c r="B5" t="s">
        <v>127</v>
      </c>
      <c r="C5">
        <v>2.8</v>
      </c>
    </row>
    <row r="6" spans="2:3">
      <c r="B6" t="s">
        <v>128</v>
      </c>
      <c r="C6">
        <v>2.5</v>
      </c>
    </row>
    <row r="7" spans="2:3">
      <c r="B7" t="s">
        <v>129</v>
      </c>
      <c r="C7">
        <v>1.7</v>
      </c>
    </row>
    <row r="8" spans="2:3">
      <c r="B8" t="s">
        <v>130</v>
      </c>
      <c r="C8">
        <v>1.4</v>
      </c>
    </row>
    <row r="9" spans="2:3">
      <c r="B9" t="s">
        <v>131</v>
      </c>
      <c r="C9">
        <v>1.1000000000000001</v>
      </c>
    </row>
    <row r="10" spans="2:3">
      <c r="B10" t="s">
        <v>132</v>
      </c>
      <c r="C10">
        <v>9.9</v>
      </c>
    </row>
    <row r="11" spans="2:3">
      <c r="B11" t="s">
        <v>133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CA3D6C7A03F2419D03F0C33430BBE4" ma:contentTypeVersion="17" ma:contentTypeDescription="Create a new document." ma:contentTypeScope="" ma:versionID="10c4e8f368a3a177ed052a4ed886ff22">
  <xsd:schema xmlns:xsd="http://www.w3.org/2001/XMLSchema" xmlns:xs="http://www.w3.org/2001/XMLSchema" xmlns:p="http://schemas.microsoft.com/office/2006/metadata/properties" xmlns:ns2="01e10fbb-3af3-430a-9398-0db918b70b47" xmlns:ns3="c45b58eb-8277-40b3-84a1-bce8f270b93c" targetNamespace="http://schemas.microsoft.com/office/2006/metadata/properties" ma:root="true" ma:fieldsID="6178d5692fd23440fe708502d82affb0" ns2:_="" ns3:_="">
    <xsd:import namespace="01e10fbb-3af3-430a-9398-0db918b70b47"/>
    <xsd:import namespace="c45b58eb-8277-40b3-84a1-bce8f270b9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e10fbb-3af3-430a-9398-0db918b70b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e2b151-a5ba-4a46-8cb5-56094e57ea09" ma:termSetId="09814cd3-568e-fe90-9814-8d621ff8fb84" ma:anchorId="fba54fb3-c3e1-fe81-a776-ca4b69148c4d" ma:open="true" ma:isKeyword="false">
      <xsd:complexType>
        <xsd:sequence>
          <xsd:element ref="pc:Terms" minOccurs="0" maxOccurs="1"/>
        </xsd:sequence>
      </xsd:complexType>
    </xsd:element>
    <xsd:element name="Status" ma:index="24" nillable="true" ma:displayName="Status"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5b58eb-8277-40b3-84a1-bce8f270b93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2916758-07c9-4167-b0c8-0e492eb8e6e9}" ma:internalName="TaxCatchAll" ma:showField="CatchAllData" ma:web="c45b58eb-8277-40b3-84a1-bce8f270b9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01e10fbb-3af3-430a-9398-0db918b70b47" xsi:nil="true"/>
    <TaxCatchAll xmlns="c45b58eb-8277-40b3-84a1-bce8f270b93c" xsi:nil="true"/>
    <lcf76f155ced4ddcb4097134ff3c332f xmlns="01e10fbb-3af3-430a-9398-0db918b70b4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8E91B-DAE4-4DC6-8B07-53718133C319}"/>
</file>

<file path=customXml/itemProps2.xml><?xml version="1.0" encoding="utf-8"?>
<ds:datastoreItem xmlns:ds="http://schemas.openxmlformats.org/officeDocument/2006/customXml" ds:itemID="{504B3284-5E23-4B15-A662-8E42D4CF67DD}"/>
</file>

<file path=customXml/itemProps3.xml><?xml version="1.0" encoding="utf-8"?>
<ds:datastoreItem xmlns:ds="http://schemas.openxmlformats.org/officeDocument/2006/customXml" ds:itemID="{6104F5C5-A44D-4103-92B3-CAE50305CD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Mathewson</dc:creator>
  <cp:keywords/>
  <dc:description/>
  <cp:lastModifiedBy>Jacob Ahrens-Balwit</cp:lastModifiedBy>
  <cp:revision/>
  <dcterms:created xsi:type="dcterms:W3CDTF">2022-11-02T14:22:25Z</dcterms:created>
  <dcterms:modified xsi:type="dcterms:W3CDTF">2023-01-18T16:25:56Z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0x010100E9CA3D6C7A03F2419D03F0C33430BBE4</vt:lpwstr>
  </property>
</Properties>
</file>